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Разчет по ф-ла-322+332+326+318" sheetId="1" r:id="rId1"/>
    <sheet name="Разчет д.338-у-ща" sheetId="2" r:id="rId2"/>
    <sheet name="Разчет д.338-ДГ" sheetId="5" r:id="rId3"/>
    <sheet name="Разчет ДГ д.д. 311-ф-ла" sheetId="3" r:id="rId4"/>
    <sheet name="Разчет ДГ м.д. 311-ф-ла" sheetId="4" r:id="rId5"/>
  </sheets>
  <calcPr calcId="145621"/>
</workbook>
</file>

<file path=xl/calcChain.xml><?xml version="1.0" encoding="utf-8"?>
<calcChain xmlns="http://schemas.openxmlformats.org/spreadsheetml/2006/main">
  <c r="L6" i="4" l="1"/>
  <c r="J37" i="4"/>
  <c r="F37" i="4"/>
  <c r="D37" i="4"/>
  <c r="H35" i="4"/>
  <c r="E35" i="4"/>
  <c r="C35" i="4" s="1"/>
  <c r="H34" i="4"/>
  <c r="E34" i="4"/>
  <c r="C34" i="4" s="1"/>
  <c r="H33" i="4"/>
  <c r="E33" i="4"/>
  <c r="C33" i="4" s="1"/>
  <c r="H32" i="4"/>
  <c r="E32" i="4"/>
  <c r="C32" i="4" s="1"/>
  <c r="H31" i="4"/>
  <c r="E31" i="4"/>
  <c r="C31" i="4" s="1"/>
  <c r="H30" i="4"/>
  <c r="E30" i="4"/>
  <c r="C30" i="4" s="1"/>
  <c r="H29" i="4"/>
  <c r="E29" i="4"/>
  <c r="C29" i="4" s="1"/>
  <c r="H28" i="4"/>
  <c r="E28" i="4"/>
  <c r="C28" i="4" s="1"/>
  <c r="H27" i="4"/>
  <c r="E27" i="4"/>
  <c r="C27" i="4" s="1"/>
  <c r="H26" i="4"/>
  <c r="E26" i="4"/>
  <c r="C26" i="4" s="1"/>
  <c r="H25" i="4"/>
  <c r="E25" i="4"/>
  <c r="C25" i="4" s="1"/>
  <c r="I24" i="4"/>
  <c r="H24" i="4"/>
  <c r="E24" i="4"/>
  <c r="C24" i="4" s="1"/>
  <c r="I23" i="4"/>
  <c r="H23" i="4"/>
  <c r="E23" i="4"/>
  <c r="C23" i="4" s="1"/>
  <c r="I22" i="4"/>
  <c r="H22" i="4"/>
  <c r="E22" i="4"/>
  <c r="C22" i="4" s="1"/>
  <c r="I21" i="4"/>
  <c r="H21" i="4"/>
  <c r="E21" i="4"/>
  <c r="C21" i="4" s="1"/>
  <c r="I20" i="4"/>
  <c r="H20" i="4"/>
  <c r="C20" i="4"/>
  <c r="G20" i="4" s="1"/>
  <c r="L20" i="4" s="1"/>
  <c r="I19" i="4"/>
  <c r="H19" i="4"/>
  <c r="E19" i="4"/>
  <c r="C19" i="4" s="1"/>
  <c r="I18" i="4"/>
  <c r="H18" i="4"/>
  <c r="E18" i="4"/>
  <c r="C18" i="4" s="1"/>
  <c r="I17" i="4"/>
  <c r="H17" i="4"/>
  <c r="E17" i="4"/>
  <c r="C17" i="4" s="1"/>
  <c r="I16" i="4"/>
  <c r="H16" i="4"/>
  <c r="E16" i="4"/>
  <c r="C16" i="4" s="1"/>
  <c r="I15" i="4"/>
  <c r="H15" i="4"/>
  <c r="E15" i="4"/>
  <c r="C15" i="4" s="1"/>
  <c r="I14" i="4"/>
  <c r="H14" i="4"/>
  <c r="E14" i="4"/>
  <c r="C14" i="4" s="1"/>
  <c r="I13" i="4"/>
  <c r="H13" i="4"/>
  <c r="E13" i="4"/>
  <c r="C13" i="4" s="1"/>
  <c r="I12" i="4"/>
  <c r="H12" i="4"/>
  <c r="E12" i="4"/>
  <c r="C12" i="4" s="1"/>
  <c r="I11" i="4"/>
  <c r="H11" i="4"/>
  <c r="E11" i="4"/>
  <c r="C11" i="4" s="1"/>
  <c r="I10" i="4"/>
  <c r="H10" i="4"/>
  <c r="E10" i="4"/>
  <c r="C10" i="4" s="1"/>
  <c r="I9" i="4"/>
  <c r="H9" i="4"/>
  <c r="E9" i="4"/>
  <c r="C9" i="4" s="1"/>
  <c r="I8" i="4"/>
  <c r="H8" i="4"/>
  <c r="E8" i="4"/>
  <c r="AE38" i="3"/>
  <c r="C37" i="5"/>
  <c r="C35" i="5"/>
  <c r="AE3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6" i="3"/>
  <c r="O3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6" i="3"/>
  <c r="S38" i="3"/>
  <c r="AC38" i="3" s="1"/>
  <c r="Q36" i="3"/>
  <c r="P36" i="3"/>
  <c r="I36" i="3"/>
  <c r="AB34" i="3"/>
  <c r="Z34" i="3"/>
  <c r="Z37" i="3" s="1"/>
  <c r="Y34" i="3"/>
  <c r="Y37" i="3" s="1"/>
  <c r="W34" i="3"/>
  <c r="W37" i="3" s="1"/>
  <c r="N34" i="3"/>
  <c r="N35" i="3" s="1"/>
  <c r="M34" i="3"/>
  <c r="M37" i="3" s="1"/>
  <c r="M38" i="3" s="1"/>
  <c r="J34" i="3"/>
  <c r="J37" i="3" s="1"/>
  <c r="G34" i="3"/>
  <c r="G37" i="3" s="1"/>
  <c r="F34" i="3"/>
  <c r="F37" i="3" s="1"/>
  <c r="E34" i="3"/>
  <c r="D34" i="3"/>
  <c r="D37" i="3" s="1"/>
  <c r="C34" i="3"/>
  <c r="AD33" i="3"/>
  <c r="X33" i="3"/>
  <c r="P33" i="3"/>
  <c r="I33" i="3"/>
  <c r="V33" i="3" s="1"/>
  <c r="AD32" i="3"/>
  <c r="X32" i="3"/>
  <c r="P32" i="3"/>
  <c r="I32" i="3"/>
  <c r="V32" i="3" s="1"/>
  <c r="AD31" i="3"/>
  <c r="X31" i="3"/>
  <c r="P31" i="3"/>
  <c r="I31" i="3"/>
  <c r="V31" i="3" s="1"/>
  <c r="AD30" i="3"/>
  <c r="X30" i="3"/>
  <c r="P30" i="3"/>
  <c r="I30" i="3"/>
  <c r="V30" i="3" s="1"/>
  <c r="AD29" i="3"/>
  <c r="X29" i="3"/>
  <c r="P29" i="3"/>
  <c r="I29" i="3"/>
  <c r="V29" i="3" s="1"/>
  <c r="AD28" i="3"/>
  <c r="X28" i="3"/>
  <c r="P28" i="3"/>
  <c r="I28" i="3"/>
  <c r="V28" i="3" s="1"/>
  <c r="AD27" i="3"/>
  <c r="X27" i="3"/>
  <c r="P27" i="3"/>
  <c r="I27" i="3"/>
  <c r="V27" i="3" s="1"/>
  <c r="AD26" i="3"/>
  <c r="X26" i="3"/>
  <c r="P26" i="3"/>
  <c r="R26" i="3" s="1"/>
  <c r="I26" i="3"/>
  <c r="V26" i="3" s="1"/>
  <c r="AD25" i="3"/>
  <c r="X25" i="3"/>
  <c r="P25" i="3"/>
  <c r="I25" i="3"/>
  <c r="V25" i="3" s="1"/>
  <c r="AD24" i="3"/>
  <c r="X24" i="3"/>
  <c r="P24" i="3"/>
  <c r="I24" i="3"/>
  <c r="V24" i="3" s="1"/>
  <c r="AD23" i="3"/>
  <c r="X23" i="3"/>
  <c r="P23" i="3"/>
  <c r="I23" i="3"/>
  <c r="V23" i="3" s="1"/>
  <c r="AD22" i="3"/>
  <c r="P22" i="3"/>
  <c r="I22" i="3"/>
  <c r="AD21" i="3"/>
  <c r="P21" i="3"/>
  <c r="I21" i="3"/>
  <c r="H21" i="3" s="1"/>
  <c r="AD20" i="3"/>
  <c r="P20" i="3"/>
  <c r="I20" i="3"/>
  <c r="AD19" i="3"/>
  <c r="P19" i="3"/>
  <c r="I19" i="3"/>
  <c r="V19" i="3" s="1"/>
  <c r="AD18" i="3"/>
  <c r="P18" i="3"/>
  <c r="I18" i="3"/>
  <c r="AD17" i="3"/>
  <c r="P17" i="3"/>
  <c r="I17" i="3"/>
  <c r="V17" i="3" s="1"/>
  <c r="AD16" i="3"/>
  <c r="X16" i="3"/>
  <c r="P16" i="3"/>
  <c r="I16" i="3"/>
  <c r="V16" i="3" s="1"/>
  <c r="AD15" i="3"/>
  <c r="P15" i="3"/>
  <c r="I15" i="3"/>
  <c r="V15" i="3" s="1"/>
  <c r="AD14" i="3"/>
  <c r="P14" i="3"/>
  <c r="I14" i="3"/>
  <c r="V14" i="3" s="1"/>
  <c r="AD13" i="3"/>
  <c r="P13" i="3"/>
  <c r="I13" i="3"/>
  <c r="V13" i="3" s="1"/>
  <c r="AD12" i="3"/>
  <c r="P12" i="3"/>
  <c r="I12" i="3"/>
  <c r="V12" i="3" s="1"/>
  <c r="AD11" i="3"/>
  <c r="P11" i="3"/>
  <c r="I11" i="3"/>
  <c r="V11" i="3" s="1"/>
  <c r="AD10" i="3"/>
  <c r="P10" i="3"/>
  <c r="I10" i="3"/>
  <c r="V10" i="3" s="1"/>
  <c r="AD9" i="3"/>
  <c r="Q9" i="3"/>
  <c r="P9" i="3"/>
  <c r="I9" i="3"/>
  <c r="V9" i="3" s="1"/>
  <c r="AD8" i="3"/>
  <c r="Q8" i="3"/>
  <c r="P8" i="3"/>
  <c r="I8" i="3"/>
  <c r="V8" i="3" s="1"/>
  <c r="AD7" i="3"/>
  <c r="X7" i="3"/>
  <c r="Q7" i="3"/>
  <c r="P7" i="3"/>
  <c r="I7" i="3"/>
  <c r="V7" i="3" s="1"/>
  <c r="AD6" i="3"/>
  <c r="Q6" i="3"/>
  <c r="P6" i="3"/>
  <c r="L34" i="3"/>
  <c r="I6" i="3"/>
  <c r="L55" i="1"/>
  <c r="L54" i="1"/>
  <c r="L53" i="1"/>
  <c r="K55" i="1"/>
  <c r="K54" i="1"/>
  <c r="K53" i="1"/>
  <c r="H55" i="1"/>
  <c r="I55" i="1" s="1"/>
  <c r="H54" i="1"/>
  <c r="H53" i="1"/>
  <c r="I53" i="1" s="1"/>
  <c r="G55" i="1"/>
  <c r="G54" i="1"/>
  <c r="I54" i="1" s="1"/>
  <c r="G53" i="1"/>
  <c r="F56" i="1"/>
  <c r="E56" i="1"/>
  <c r="C56" i="1"/>
  <c r="D56" i="1"/>
  <c r="D3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F26" i="2"/>
  <c r="F25" i="2"/>
  <c r="F24" i="2"/>
  <c r="F23" i="2"/>
  <c r="F22" i="2"/>
  <c r="F8" i="2"/>
  <c r="F9" i="2"/>
  <c r="G9" i="2" s="1"/>
  <c r="F10" i="2"/>
  <c r="F11" i="2"/>
  <c r="F12" i="2"/>
  <c r="F13" i="2"/>
  <c r="G13" i="2" s="1"/>
  <c r="F14" i="2"/>
  <c r="F15" i="2"/>
  <c r="F16" i="2"/>
  <c r="F17" i="2"/>
  <c r="F18" i="2"/>
  <c r="F19" i="2"/>
  <c r="F20" i="2"/>
  <c r="F7" i="2"/>
  <c r="D22" i="2"/>
  <c r="D26" i="2"/>
  <c r="D25" i="2"/>
  <c r="G25" i="2" s="1"/>
  <c r="D24" i="2"/>
  <c r="D23" i="2"/>
  <c r="G23" i="2" s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7" i="2"/>
  <c r="F29" i="2"/>
  <c r="D29" i="2"/>
  <c r="E27" i="2"/>
  <c r="C27" i="2"/>
  <c r="E21" i="2"/>
  <c r="E28" i="2" s="1"/>
  <c r="E30" i="2" s="1"/>
  <c r="C21" i="2"/>
  <c r="C28" i="2" s="1"/>
  <c r="C30" i="2" s="1"/>
  <c r="G19" i="2"/>
  <c r="G11" i="2"/>
  <c r="AC43" i="1"/>
  <c r="AC45" i="1" s="1"/>
  <c r="AB43" i="1"/>
  <c r="AB45" i="1" s="1"/>
  <c r="AE44" i="1"/>
  <c r="AD44" i="1"/>
  <c r="AE42" i="1"/>
  <c r="AE41" i="1"/>
  <c r="AD42" i="1"/>
  <c r="AD41" i="1"/>
  <c r="Z43" i="1"/>
  <c r="Z45" i="1" s="1"/>
  <c r="AA43" i="1"/>
  <c r="AA45" i="1" s="1"/>
  <c r="X43" i="1"/>
  <c r="Y43" i="1"/>
  <c r="Y45" i="1" s="1"/>
  <c r="V43" i="1"/>
  <c r="V45" i="1" s="1"/>
  <c r="O42" i="1"/>
  <c r="N45" i="1"/>
  <c r="M43" i="1"/>
  <c r="M45" i="1" s="1"/>
  <c r="L43" i="1"/>
  <c r="L45" i="1" s="1"/>
  <c r="K43" i="1"/>
  <c r="K45" i="1" s="1"/>
  <c r="J43" i="1"/>
  <c r="J45" i="1" s="1"/>
  <c r="I43" i="1"/>
  <c r="I45" i="1" s="1"/>
  <c r="H43" i="1"/>
  <c r="H45" i="1" s="1"/>
  <c r="F43" i="1"/>
  <c r="F45" i="1" s="1"/>
  <c r="E43" i="1"/>
  <c r="E45" i="1" s="1"/>
  <c r="G42" i="1"/>
  <c r="G41" i="1"/>
  <c r="AN30" i="1"/>
  <c r="AM24" i="1"/>
  <c r="AM23" i="1"/>
  <c r="AM22" i="1"/>
  <c r="AM20" i="1"/>
  <c r="AM18" i="1"/>
  <c r="AM17" i="1"/>
  <c r="AM16" i="1"/>
  <c r="AM15" i="1"/>
  <c r="AM13" i="1"/>
  <c r="AM12" i="1"/>
  <c r="AM11" i="1"/>
  <c r="AM10" i="1"/>
  <c r="AM9" i="1"/>
  <c r="AM7" i="1"/>
  <c r="AU26" i="1"/>
  <c r="AU24" i="1"/>
  <c r="AU22" i="1"/>
  <c r="AS19" i="1"/>
  <c r="AS18" i="1"/>
  <c r="AS14" i="1"/>
  <c r="AU12" i="1"/>
  <c r="AP29" i="1"/>
  <c r="AP26" i="1"/>
  <c r="AP25" i="1"/>
  <c r="AP24" i="1"/>
  <c r="AP23" i="1"/>
  <c r="AP22" i="1"/>
  <c r="AP20" i="1"/>
  <c r="AP19" i="1"/>
  <c r="AP18" i="1"/>
  <c r="AP17" i="1"/>
  <c r="AP16" i="1"/>
  <c r="AP14" i="1"/>
  <c r="AP15" i="1"/>
  <c r="AP13" i="1"/>
  <c r="AP12" i="1"/>
  <c r="AP11" i="1"/>
  <c r="AP10" i="1"/>
  <c r="AP9" i="1"/>
  <c r="AP8" i="1"/>
  <c r="AP7" i="1"/>
  <c r="AL29" i="1"/>
  <c r="AQ29" i="1" s="1"/>
  <c r="AL26" i="1"/>
  <c r="AQ26" i="1" s="1"/>
  <c r="AL25" i="1"/>
  <c r="AQ25" i="1" s="1"/>
  <c r="AL24" i="1"/>
  <c r="AQ24" i="1" s="1"/>
  <c r="AL23" i="1"/>
  <c r="AQ23" i="1" s="1"/>
  <c r="AL22" i="1"/>
  <c r="AQ22" i="1" s="1"/>
  <c r="AL8" i="1"/>
  <c r="AQ8" i="1" s="1"/>
  <c r="AL9" i="1"/>
  <c r="AQ9" i="1" s="1"/>
  <c r="AL10" i="1"/>
  <c r="AQ10" i="1" s="1"/>
  <c r="AL11" i="1"/>
  <c r="AQ11" i="1" s="1"/>
  <c r="AL12" i="1"/>
  <c r="AQ12" i="1" s="1"/>
  <c r="AL13" i="1"/>
  <c r="AQ13" i="1" s="1"/>
  <c r="AL14" i="1"/>
  <c r="AL15" i="1"/>
  <c r="AL16" i="1"/>
  <c r="AQ16" i="1" s="1"/>
  <c r="AL17" i="1"/>
  <c r="AQ17" i="1" s="1"/>
  <c r="AL18" i="1"/>
  <c r="AQ18" i="1" s="1"/>
  <c r="AL19" i="1"/>
  <c r="AQ19" i="1" s="1"/>
  <c r="AL20" i="1"/>
  <c r="AQ20" i="1" s="1"/>
  <c r="AL7" i="1"/>
  <c r="AQ7" i="1" s="1"/>
  <c r="AT29" i="1"/>
  <c r="AU29" i="1" s="1"/>
  <c r="AO27" i="1"/>
  <c r="AK27" i="1"/>
  <c r="AU25" i="1"/>
  <c r="AT27" i="1"/>
  <c r="AO21" i="1"/>
  <c r="AO28" i="1" s="1"/>
  <c r="AO30" i="1" s="1"/>
  <c r="AK21" i="1"/>
  <c r="AK28" i="1" s="1"/>
  <c r="AK30" i="1" s="1"/>
  <c r="AU20" i="1"/>
  <c r="AT19" i="1"/>
  <c r="AT18" i="1"/>
  <c r="AU17" i="1"/>
  <c r="AU16" i="1"/>
  <c r="AU15" i="1"/>
  <c r="AT14" i="1"/>
  <c r="AU10" i="1"/>
  <c r="AU8" i="1"/>
  <c r="Z33" i="1"/>
  <c r="Z32" i="1"/>
  <c r="Y36" i="1"/>
  <c r="AH19" i="1"/>
  <c r="AH18" i="1"/>
  <c r="AH17" i="1"/>
  <c r="AH16" i="1"/>
  <c r="AH15" i="1"/>
  <c r="AH13" i="1"/>
  <c r="AH12" i="1"/>
  <c r="AE29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A29" i="1"/>
  <c r="AA26" i="1"/>
  <c r="AA25" i="1"/>
  <c r="AA24" i="1"/>
  <c r="AA23" i="1"/>
  <c r="AA22" i="1"/>
  <c r="AA14" i="1"/>
  <c r="AA8" i="1"/>
  <c r="AA9" i="1"/>
  <c r="AA10" i="1"/>
  <c r="AA11" i="1"/>
  <c r="AA12" i="1"/>
  <c r="AA13" i="1"/>
  <c r="AA15" i="1"/>
  <c r="AA16" i="1"/>
  <c r="AA17" i="1"/>
  <c r="AA18" i="1"/>
  <c r="AA19" i="1"/>
  <c r="AA20" i="1"/>
  <c r="AA7" i="1"/>
  <c r="AC13" i="1"/>
  <c r="Y29" i="1"/>
  <c r="Z29" i="1" s="1"/>
  <c r="Y14" i="1"/>
  <c r="Y21" i="1" s="1"/>
  <c r="X14" i="1"/>
  <c r="X21" i="1" s="1"/>
  <c r="X28" i="1" s="1"/>
  <c r="X30" i="1" s="1"/>
  <c r="W29" i="1"/>
  <c r="W15" i="1"/>
  <c r="W21" i="1" s="1"/>
  <c r="U29" i="1"/>
  <c r="U26" i="1"/>
  <c r="U25" i="1"/>
  <c r="U24" i="1"/>
  <c r="U23" i="1"/>
  <c r="U22" i="1"/>
  <c r="U10" i="1"/>
  <c r="U11" i="1"/>
  <c r="U12" i="1"/>
  <c r="U13" i="1"/>
  <c r="U14" i="1"/>
  <c r="U15" i="1"/>
  <c r="U16" i="1"/>
  <c r="U17" i="1"/>
  <c r="U18" i="1"/>
  <c r="U19" i="1"/>
  <c r="U20" i="1"/>
  <c r="U7" i="1"/>
  <c r="U8" i="1"/>
  <c r="U9" i="1"/>
  <c r="AJ35" i="1"/>
  <c r="Z35" i="1"/>
  <c r="Z34" i="1"/>
  <c r="AH29" i="1"/>
  <c r="AC29" i="1"/>
  <c r="AI27" i="1"/>
  <c r="AH27" i="1"/>
  <c r="AF27" i="1"/>
  <c r="AD27" i="1"/>
  <c r="Y27" i="1"/>
  <c r="V27" i="1"/>
  <c r="AC26" i="1"/>
  <c r="AC25" i="1"/>
  <c r="AC24" i="1"/>
  <c r="AC23" i="1"/>
  <c r="AC22" i="1"/>
  <c r="W27" i="1"/>
  <c r="AI21" i="1"/>
  <c r="AF21" i="1"/>
  <c r="AD21" i="1"/>
  <c r="V21" i="1"/>
  <c r="AH20" i="1"/>
  <c r="AC20" i="1"/>
  <c r="AC19" i="1"/>
  <c r="AC18" i="1"/>
  <c r="AC17" i="1"/>
  <c r="AC16" i="1"/>
  <c r="AC15" i="1"/>
  <c r="AC12" i="1"/>
  <c r="AC11" i="1"/>
  <c r="AC10" i="1"/>
  <c r="AC9" i="1"/>
  <c r="AC8" i="1"/>
  <c r="AC7" i="1"/>
  <c r="S14" i="1"/>
  <c r="S21" i="1" s="1"/>
  <c r="M35" i="1"/>
  <c r="M34" i="1"/>
  <c r="M33" i="1"/>
  <c r="M32" i="1"/>
  <c r="L35" i="1"/>
  <c r="L34" i="1"/>
  <c r="L33" i="1"/>
  <c r="N33" i="1" s="1"/>
  <c r="O33" i="1" s="1"/>
  <c r="S33" i="1" s="1"/>
  <c r="L32" i="1"/>
  <c r="N32" i="1" s="1"/>
  <c r="O32" i="1" s="1"/>
  <c r="S32" i="1" s="1"/>
  <c r="P32" i="1" s="1"/>
  <c r="L29" i="1"/>
  <c r="M29" i="1"/>
  <c r="M26" i="1"/>
  <c r="M25" i="1"/>
  <c r="M24" i="1"/>
  <c r="M23" i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  <c r="L26" i="1"/>
  <c r="L25" i="1"/>
  <c r="L24" i="1"/>
  <c r="L23" i="1"/>
  <c r="L22" i="1"/>
  <c r="L8" i="1"/>
  <c r="L9" i="1"/>
  <c r="L10" i="1"/>
  <c r="L11" i="1"/>
  <c r="L12" i="1"/>
  <c r="L13" i="1"/>
  <c r="L15" i="1"/>
  <c r="L16" i="1"/>
  <c r="L17" i="1"/>
  <c r="L18" i="1"/>
  <c r="L19" i="1"/>
  <c r="L20" i="1"/>
  <c r="L7" i="1"/>
  <c r="K34" i="1"/>
  <c r="N34" i="1" s="1"/>
  <c r="O34" i="1" s="1"/>
  <c r="S34" i="1" s="1"/>
  <c r="K26" i="1"/>
  <c r="K25" i="1"/>
  <c r="K24" i="1"/>
  <c r="K23" i="1"/>
  <c r="K22" i="1"/>
  <c r="K8" i="1"/>
  <c r="K9" i="1"/>
  <c r="K10" i="1"/>
  <c r="K11" i="1"/>
  <c r="K12" i="1"/>
  <c r="K13" i="1"/>
  <c r="K14" i="1"/>
  <c r="K15" i="1"/>
  <c r="N15" i="1" s="1"/>
  <c r="K16" i="1"/>
  <c r="K17" i="1"/>
  <c r="N17" i="1" s="1"/>
  <c r="K18" i="1"/>
  <c r="K19" i="1"/>
  <c r="N19" i="1" s="1"/>
  <c r="K20" i="1"/>
  <c r="K7" i="1"/>
  <c r="J36" i="1"/>
  <c r="T44" i="1" s="1"/>
  <c r="I36" i="1"/>
  <c r="H36" i="1"/>
  <c r="G36" i="1"/>
  <c r="Q44" i="1" s="1"/>
  <c r="F36" i="1"/>
  <c r="D36" i="1"/>
  <c r="C36" i="1"/>
  <c r="E34" i="1"/>
  <c r="E33" i="1"/>
  <c r="E32" i="1"/>
  <c r="E29" i="1"/>
  <c r="R27" i="1"/>
  <c r="Q27" i="1"/>
  <c r="J27" i="1"/>
  <c r="I27" i="1"/>
  <c r="H27" i="1"/>
  <c r="G27" i="1"/>
  <c r="F27" i="1"/>
  <c r="D27" i="1"/>
  <c r="C27" i="1"/>
  <c r="E26" i="1"/>
  <c r="E25" i="1"/>
  <c r="E24" i="1"/>
  <c r="E23" i="1"/>
  <c r="E22" i="1"/>
  <c r="R21" i="1"/>
  <c r="R28" i="1" s="1"/>
  <c r="R30" i="1" s="1"/>
  <c r="Q21" i="1"/>
  <c r="J21" i="1"/>
  <c r="I21" i="1"/>
  <c r="H21" i="1"/>
  <c r="G21" i="1"/>
  <c r="F21" i="1"/>
  <c r="D21" i="1"/>
  <c r="C21" i="1"/>
  <c r="C28" i="1" s="1"/>
  <c r="C30" i="1" s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29" i="1" s="1"/>
  <c r="E37" i="4" l="1"/>
  <c r="I37" i="4"/>
  <c r="C8" i="4"/>
  <c r="H37" i="4"/>
  <c r="G11" i="4"/>
  <c r="L11" i="4" s="1"/>
  <c r="G15" i="4"/>
  <c r="L15" i="4" s="1"/>
  <c r="G19" i="4"/>
  <c r="L19" i="4" s="1"/>
  <c r="G22" i="4"/>
  <c r="L22" i="4" s="1"/>
  <c r="G9" i="4"/>
  <c r="L9" i="4" s="1"/>
  <c r="G13" i="4"/>
  <c r="L13" i="4" s="1"/>
  <c r="G17" i="4"/>
  <c r="L17" i="4" s="1"/>
  <c r="G24" i="4"/>
  <c r="L24" i="4" s="1"/>
  <c r="G8" i="4"/>
  <c r="L8" i="4" s="1"/>
  <c r="G10" i="4"/>
  <c r="L10" i="4" s="1"/>
  <c r="G12" i="4"/>
  <c r="L12" i="4" s="1"/>
  <c r="G14" i="4"/>
  <c r="L14" i="4" s="1"/>
  <c r="G16" i="4"/>
  <c r="L16" i="4" s="1"/>
  <c r="G18" i="4"/>
  <c r="L18" i="4" s="1"/>
  <c r="G21" i="4"/>
  <c r="L21" i="4" s="1"/>
  <c r="G23" i="4"/>
  <c r="L23" i="4" s="1"/>
  <c r="G25" i="4"/>
  <c r="L25" i="4" s="1"/>
  <c r="G26" i="4"/>
  <c r="L26" i="4" s="1"/>
  <c r="G27" i="4"/>
  <c r="L27" i="4" s="1"/>
  <c r="G28" i="4"/>
  <c r="L28" i="4" s="1"/>
  <c r="G29" i="4"/>
  <c r="L29" i="4" s="1"/>
  <c r="G30" i="4"/>
  <c r="L30" i="4" s="1"/>
  <c r="G31" i="4"/>
  <c r="L31" i="4" s="1"/>
  <c r="G32" i="4"/>
  <c r="L32" i="4" s="1"/>
  <c r="G33" i="4"/>
  <c r="L33" i="4" s="1"/>
  <c r="G34" i="4"/>
  <c r="L34" i="4" s="1"/>
  <c r="G35" i="4"/>
  <c r="L35" i="4" s="1"/>
  <c r="D35" i="5"/>
  <c r="D37" i="5" s="1"/>
  <c r="X34" i="3"/>
  <c r="X37" i="3" s="1"/>
  <c r="H19" i="3"/>
  <c r="I34" i="3"/>
  <c r="I37" i="3" s="1"/>
  <c r="I38" i="3" s="1"/>
  <c r="P34" i="3"/>
  <c r="P37" i="3" s="1"/>
  <c r="AD34" i="3"/>
  <c r="H23" i="3"/>
  <c r="H24" i="3"/>
  <c r="H25" i="3"/>
  <c r="H26" i="3"/>
  <c r="T26" i="3"/>
  <c r="V21" i="3"/>
  <c r="U26" i="3"/>
  <c r="AA26" i="3" s="1"/>
  <c r="AC26" i="3" s="1"/>
  <c r="H9" i="3"/>
  <c r="H27" i="3"/>
  <c r="R27" i="3"/>
  <c r="S27" i="3" s="1"/>
  <c r="R25" i="3"/>
  <c r="R7" i="3"/>
  <c r="H8" i="3"/>
  <c r="H10" i="3"/>
  <c r="R10" i="3"/>
  <c r="R11" i="3"/>
  <c r="S11" i="3" s="1"/>
  <c r="H12" i="3"/>
  <c r="R12" i="3"/>
  <c r="T12" i="3" s="1"/>
  <c r="R13" i="3"/>
  <c r="S13" i="3" s="1"/>
  <c r="H14" i="3"/>
  <c r="R14" i="3"/>
  <c r="R15" i="3"/>
  <c r="H16" i="3"/>
  <c r="R16" i="3"/>
  <c r="T16" i="3" s="1"/>
  <c r="H17" i="3"/>
  <c r="R17" i="3"/>
  <c r="T17" i="3" s="1"/>
  <c r="H28" i="3"/>
  <c r="H29" i="3"/>
  <c r="H30" i="3"/>
  <c r="H31" i="3"/>
  <c r="H32" i="3"/>
  <c r="H33" i="3"/>
  <c r="R36" i="3"/>
  <c r="T36" i="3" s="1"/>
  <c r="U36" i="3" s="1"/>
  <c r="AA36" i="3" s="1"/>
  <c r="T38" i="3"/>
  <c r="H6" i="3"/>
  <c r="K34" i="3"/>
  <c r="O34" i="3"/>
  <c r="Q34" i="3"/>
  <c r="Q37" i="3" s="1"/>
  <c r="H7" i="3"/>
  <c r="R8" i="3"/>
  <c r="T8" i="3" s="1"/>
  <c r="R9" i="3"/>
  <c r="T9" i="3" s="1"/>
  <c r="H11" i="3"/>
  <c r="H13" i="3"/>
  <c r="H15" i="3"/>
  <c r="R18" i="3"/>
  <c r="T18" i="3" s="1"/>
  <c r="R19" i="3"/>
  <c r="R20" i="3"/>
  <c r="T20" i="3" s="1"/>
  <c r="R21" i="3"/>
  <c r="T21" i="3" s="1"/>
  <c r="R22" i="3"/>
  <c r="T22" i="3" s="1"/>
  <c r="R23" i="3"/>
  <c r="R24" i="3"/>
  <c r="I35" i="3"/>
  <c r="R6" i="3"/>
  <c r="T6" i="3" s="1"/>
  <c r="V6" i="3"/>
  <c r="V18" i="3"/>
  <c r="H18" i="3"/>
  <c r="V20" i="3"/>
  <c r="H20" i="3"/>
  <c r="V22" i="3"/>
  <c r="H22" i="3"/>
  <c r="S25" i="3"/>
  <c r="S26" i="3"/>
  <c r="R28" i="3"/>
  <c r="R29" i="3"/>
  <c r="R30" i="3"/>
  <c r="R31" i="3"/>
  <c r="R32" i="3"/>
  <c r="T32" i="3" s="1"/>
  <c r="R33" i="3"/>
  <c r="M35" i="3"/>
  <c r="N37" i="3"/>
  <c r="N38" i="3" s="1"/>
  <c r="E36" i="3"/>
  <c r="E37" i="3" s="1"/>
  <c r="AD43" i="1"/>
  <c r="AF42" i="1"/>
  <c r="J53" i="1"/>
  <c r="K56" i="1"/>
  <c r="J55" i="1"/>
  <c r="H56" i="1"/>
  <c r="J54" i="1"/>
  <c r="G56" i="1"/>
  <c r="G16" i="2"/>
  <c r="G12" i="2"/>
  <c r="G20" i="2"/>
  <c r="G18" i="2"/>
  <c r="G10" i="2"/>
  <c r="D27" i="2"/>
  <c r="D21" i="2"/>
  <c r="G26" i="2"/>
  <c r="G24" i="2"/>
  <c r="F27" i="2"/>
  <c r="G17" i="2"/>
  <c r="F21" i="2"/>
  <c r="F28" i="2" s="1"/>
  <c r="F30" i="2" s="1"/>
  <c r="G15" i="2"/>
  <c r="G8" i="2"/>
  <c r="G7" i="2"/>
  <c r="G22" i="2"/>
  <c r="G29" i="2"/>
  <c r="AD45" i="1"/>
  <c r="AE43" i="1"/>
  <c r="O44" i="1"/>
  <c r="AF44" i="1" s="1"/>
  <c r="N29" i="1"/>
  <c r="L27" i="1"/>
  <c r="P43" i="1"/>
  <c r="P45" i="1" s="1"/>
  <c r="AC27" i="1"/>
  <c r="AF28" i="1"/>
  <c r="AF30" i="1" s="1"/>
  <c r="D28" i="1"/>
  <c r="D30" i="1" s="1"/>
  <c r="Y28" i="1"/>
  <c r="Y30" i="1" s="1"/>
  <c r="AT21" i="1"/>
  <c r="AT28" i="1" s="1"/>
  <c r="AT30" i="1" s="1"/>
  <c r="AQ15" i="1"/>
  <c r="AR15" i="1" s="1"/>
  <c r="AM21" i="1"/>
  <c r="N13" i="1"/>
  <c r="N9" i="1"/>
  <c r="E36" i="1"/>
  <c r="N11" i="1"/>
  <c r="M21" i="1"/>
  <c r="AD28" i="1"/>
  <c r="AD30" i="1" s="1"/>
  <c r="AQ14" i="1"/>
  <c r="AR14" i="1" s="1"/>
  <c r="AM27" i="1"/>
  <c r="G43" i="1"/>
  <c r="G45" i="1" s="1"/>
  <c r="S43" i="1"/>
  <c r="S45" i="1" s="1"/>
  <c r="AE45" i="1"/>
  <c r="N7" i="1"/>
  <c r="Z14" i="1"/>
  <c r="T43" i="1"/>
  <c r="T45" i="1" s="1"/>
  <c r="L21" i="1"/>
  <c r="N22" i="1"/>
  <c r="N24" i="1"/>
  <c r="N26" i="1"/>
  <c r="N20" i="1"/>
  <c r="N18" i="1"/>
  <c r="N16" i="1"/>
  <c r="N14" i="1"/>
  <c r="N12" i="1"/>
  <c r="N10" i="1"/>
  <c r="N8" i="1"/>
  <c r="N23" i="1"/>
  <c r="N25" i="1"/>
  <c r="AC21" i="1"/>
  <c r="G28" i="1"/>
  <c r="G30" i="1" s="1"/>
  <c r="I28" i="1"/>
  <c r="I30" i="1" s="1"/>
  <c r="Q28" i="1"/>
  <c r="Q30" i="1" s="1"/>
  <c r="F28" i="1"/>
  <c r="F30" i="1" s="1"/>
  <c r="H28" i="1"/>
  <c r="H30" i="1" s="1"/>
  <c r="J28" i="1"/>
  <c r="J30" i="1" s="1"/>
  <c r="AI28" i="1"/>
  <c r="AI30" i="1" s="1"/>
  <c r="AU9" i="1"/>
  <c r="AU11" i="1"/>
  <c r="AU13" i="1"/>
  <c r="AS27" i="1"/>
  <c r="AS21" i="1"/>
  <c r="AP21" i="1"/>
  <c r="AL27" i="1"/>
  <c r="AR8" i="1"/>
  <c r="AR10" i="1"/>
  <c r="AR12" i="1"/>
  <c r="AR16" i="1"/>
  <c r="AR18" i="1"/>
  <c r="AR19" i="1"/>
  <c r="AR20" i="1"/>
  <c r="AR24" i="1"/>
  <c r="AR26" i="1"/>
  <c r="AR7" i="1"/>
  <c r="AR9" i="1"/>
  <c r="AR11" i="1"/>
  <c r="AR13" i="1"/>
  <c r="AR17" i="1"/>
  <c r="AL21" i="1"/>
  <c r="AQ27" i="1"/>
  <c r="AR23" i="1"/>
  <c r="AR25" i="1"/>
  <c r="AP27" i="1"/>
  <c r="AR29" i="1"/>
  <c r="AU7" i="1"/>
  <c r="AU23" i="1"/>
  <c r="AU27" i="1" s="1"/>
  <c r="Z36" i="1"/>
  <c r="AH21" i="1"/>
  <c r="AH28" i="1" s="1"/>
  <c r="AH30" i="1" s="1"/>
  <c r="U27" i="1"/>
  <c r="U21" i="1"/>
  <c r="W28" i="1"/>
  <c r="W30" i="1" s="1"/>
  <c r="V28" i="1"/>
  <c r="V30" i="1" s="1"/>
  <c r="Z27" i="1"/>
  <c r="T32" i="1"/>
  <c r="AJ32" i="1" s="1"/>
  <c r="S27" i="1"/>
  <c r="M36" i="1"/>
  <c r="L36" i="1"/>
  <c r="P34" i="1"/>
  <c r="T34" i="1" s="1"/>
  <c r="AJ34" i="1" s="1"/>
  <c r="E21" i="1"/>
  <c r="E27" i="1"/>
  <c r="M27" i="1"/>
  <c r="K36" i="1"/>
  <c r="L36" i="4" l="1"/>
  <c r="C37" i="4"/>
  <c r="K37" i="4"/>
  <c r="G37" i="4"/>
  <c r="U21" i="3"/>
  <c r="AA21" i="3" s="1"/>
  <c r="AC21" i="3" s="1"/>
  <c r="U20" i="3"/>
  <c r="AA20" i="3" s="1"/>
  <c r="AC20" i="3" s="1"/>
  <c r="U9" i="3"/>
  <c r="AA9" i="3" s="1"/>
  <c r="U8" i="3"/>
  <c r="AA8" i="3" s="1"/>
  <c r="AC8" i="3" s="1"/>
  <c r="U17" i="3"/>
  <c r="AA17" i="3" s="1"/>
  <c r="U16" i="3"/>
  <c r="AA16" i="3" s="1"/>
  <c r="AC16" i="3" s="1"/>
  <c r="U12" i="3"/>
  <c r="AA12" i="3" s="1"/>
  <c r="AC12" i="3" s="1"/>
  <c r="T10" i="3"/>
  <c r="U10" i="3" s="1"/>
  <c r="AA10" i="3" s="1"/>
  <c r="AC10" i="3" s="1"/>
  <c r="T14" i="3"/>
  <c r="U14" i="3" s="1"/>
  <c r="AA14" i="3" s="1"/>
  <c r="AC14" i="3" s="1"/>
  <c r="T28" i="3"/>
  <c r="U28" i="3" s="1"/>
  <c r="AA28" i="3" s="1"/>
  <c r="AC28" i="3" s="1"/>
  <c r="T7" i="3"/>
  <c r="U7" i="3" s="1"/>
  <c r="AA7" i="3" s="1"/>
  <c r="T11" i="3"/>
  <c r="U11" i="3" s="1"/>
  <c r="AA11" i="3" s="1"/>
  <c r="AC11" i="3" s="1"/>
  <c r="T15" i="3"/>
  <c r="U15" i="3" s="1"/>
  <c r="AA15" i="3" s="1"/>
  <c r="AC15" i="3" s="1"/>
  <c r="T19" i="3"/>
  <c r="U19" i="3" s="1"/>
  <c r="AA19" i="3" s="1"/>
  <c r="AC19" i="3" s="1"/>
  <c r="T23" i="3"/>
  <c r="U23" i="3" s="1"/>
  <c r="AA23" i="3" s="1"/>
  <c r="AC23" i="3" s="1"/>
  <c r="T27" i="3"/>
  <c r="U27" i="3" s="1"/>
  <c r="AA27" i="3" s="1"/>
  <c r="AC27" i="3" s="1"/>
  <c r="T31" i="3"/>
  <c r="U31" i="3" s="1"/>
  <c r="AA31" i="3" s="1"/>
  <c r="AC31" i="3" s="1"/>
  <c r="U32" i="3"/>
  <c r="AA32" i="3" s="1"/>
  <c r="AC32" i="3" s="1"/>
  <c r="U22" i="3"/>
  <c r="U18" i="3"/>
  <c r="T24" i="3"/>
  <c r="U24" i="3" s="1"/>
  <c r="AA24" i="3" s="1"/>
  <c r="AC24" i="3" s="1"/>
  <c r="T30" i="3"/>
  <c r="U30" i="3" s="1"/>
  <c r="AA30" i="3" s="1"/>
  <c r="AC30" i="3" s="1"/>
  <c r="T13" i="3"/>
  <c r="U13" i="3" s="1"/>
  <c r="AA13" i="3" s="1"/>
  <c r="AC13" i="3" s="1"/>
  <c r="T25" i="3"/>
  <c r="U25" i="3" s="1"/>
  <c r="AA25" i="3" s="1"/>
  <c r="AC25" i="3" s="1"/>
  <c r="T29" i="3"/>
  <c r="U29" i="3" s="1"/>
  <c r="AA29" i="3" s="1"/>
  <c r="AC29" i="3" s="1"/>
  <c r="T33" i="3"/>
  <c r="U33" i="3" s="1"/>
  <c r="AA33" i="3" s="1"/>
  <c r="AC33" i="3" s="1"/>
  <c r="S17" i="3"/>
  <c r="S16" i="3"/>
  <c r="S12" i="3"/>
  <c r="S14" i="3"/>
  <c r="S10" i="3"/>
  <c r="S7" i="3"/>
  <c r="S32" i="3"/>
  <c r="S30" i="3"/>
  <c r="S29" i="3"/>
  <c r="S28" i="3"/>
  <c r="S21" i="3"/>
  <c r="S20" i="3"/>
  <c r="S15" i="3"/>
  <c r="S36" i="3"/>
  <c r="AC36" i="3" s="1"/>
  <c r="S31" i="3"/>
  <c r="V34" i="3"/>
  <c r="AA22" i="3"/>
  <c r="AC22" i="3" s="1"/>
  <c r="AA18" i="3"/>
  <c r="AC18" i="3" s="1"/>
  <c r="AD36" i="3"/>
  <c r="AB36" i="3"/>
  <c r="AB37" i="3" s="1"/>
  <c r="R34" i="3"/>
  <c r="R37" i="3" s="1"/>
  <c r="S24" i="3"/>
  <c r="S23" i="3"/>
  <c r="S19" i="3"/>
  <c r="S6" i="3"/>
  <c r="O37" i="3"/>
  <c r="O35" i="3"/>
  <c r="H34" i="3"/>
  <c r="H37" i="3" s="1"/>
  <c r="S18" i="3"/>
  <c r="S8" i="3"/>
  <c r="S33" i="3"/>
  <c r="S22" i="3"/>
  <c r="S9" i="3"/>
  <c r="I56" i="1"/>
  <c r="D28" i="2"/>
  <c r="D30" i="2" s="1"/>
  <c r="G21" i="2"/>
  <c r="G27" i="2"/>
  <c r="R43" i="1"/>
  <c r="R45" i="1" s="1"/>
  <c r="O41" i="1"/>
  <c r="AF41" i="1" s="1"/>
  <c r="AQ21" i="1"/>
  <c r="AM28" i="1"/>
  <c r="AM30" i="1" s="1"/>
  <c r="L28" i="1"/>
  <c r="L30" i="1" s="1"/>
  <c r="AC28" i="1"/>
  <c r="AC30" i="1" s="1"/>
  <c r="AP28" i="1"/>
  <c r="AP30" i="1" s="1"/>
  <c r="M28" i="1"/>
  <c r="M30" i="1" s="1"/>
  <c r="W43" i="1"/>
  <c r="Q43" i="1"/>
  <c r="Q45" i="1" s="1"/>
  <c r="U43" i="1"/>
  <c r="AU21" i="1"/>
  <c r="AU28" i="1" s="1"/>
  <c r="AU30" i="1" s="1"/>
  <c r="AS28" i="1"/>
  <c r="AS30" i="1" s="1"/>
  <c r="AL28" i="1"/>
  <c r="AL30" i="1" s="1"/>
  <c r="AQ28" i="1"/>
  <c r="AQ30" i="1" s="1"/>
  <c r="AR22" i="1"/>
  <c r="AR27" i="1" s="1"/>
  <c r="AR21" i="1"/>
  <c r="U28" i="1"/>
  <c r="U30" i="1" s="1"/>
  <c r="Z21" i="1"/>
  <c r="Z28" i="1" s="1"/>
  <c r="Z30" i="1" s="1"/>
  <c r="S28" i="1"/>
  <c r="S30" i="1" s="1"/>
  <c r="P33" i="1"/>
  <c r="K27" i="1"/>
  <c r="N36" i="1"/>
  <c r="X45" i="1" s="1"/>
  <c r="E28" i="1"/>
  <c r="E30" i="1" s="1"/>
  <c r="K21" i="1"/>
  <c r="L37" i="4" l="1"/>
  <c r="AC9" i="3"/>
  <c r="AC7" i="3"/>
  <c r="AC17" i="3"/>
  <c r="S34" i="3"/>
  <c r="S37" i="3" s="1"/>
  <c r="V37" i="3"/>
  <c r="T34" i="3"/>
  <c r="V5" i="3" s="1"/>
  <c r="U6" i="3"/>
  <c r="AD37" i="3"/>
  <c r="L56" i="1"/>
  <c r="G28" i="2"/>
  <c r="G30" i="2" s="1"/>
  <c r="U45" i="1"/>
  <c r="W45" i="1"/>
  <c r="K28" i="1"/>
  <c r="K30" i="1" s="1"/>
  <c r="AR28" i="1"/>
  <c r="AR30" i="1" s="1"/>
  <c r="T33" i="1"/>
  <c r="AJ33" i="1" s="1"/>
  <c r="AJ36" i="1" s="1"/>
  <c r="P36" i="1"/>
  <c r="O36" i="1"/>
  <c r="S36" i="1"/>
  <c r="U34" i="3" l="1"/>
  <c r="U37" i="3" s="1"/>
  <c r="AA6" i="3"/>
  <c r="AC6" i="3" s="1"/>
  <c r="T37" i="3"/>
  <c r="Z5" i="3"/>
  <c r="X5" i="3"/>
  <c r="Y5" i="3"/>
  <c r="W5" i="3"/>
  <c r="J56" i="1"/>
  <c r="O43" i="1"/>
  <c r="O45" i="1" s="1"/>
  <c r="T36" i="1"/>
  <c r="O7" i="1"/>
  <c r="O16" i="1" s="1"/>
  <c r="T16" i="1" s="1"/>
  <c r="AJ16" i="1" s="1"/>
  <c r="AV16" i="1" s="1"/>
  <c r="AA5" i="3" l="1"/>
  <c r="AA34" i="3"/>
  <c r="AA37" i="3" s="1"/>
  <c r="AF43" i="1"/>
  <c r="O9" i="1"/>
  <c r="T9" i="1" s="1"/>
  <c r="AJ9" i="1" s="1"/>
  <c r="AV9" i="1" s="1"/>
  <c r="O19" i="1"/>
  <c r="T19" i="1" s="1"/>
  <c r="AJ19" i="1" s="1"/>
  <c r="AV19" i="1" s="1"/>
  <c r="O12" i="1"/>
  <c r="T12" i="1" s="1"/>
  <c r="AJ12" i="1" s="1"/>
  <c r="AV12" i="1" s="1"/>
  <c r="T7" i="1"/>
  <c r="AJ7" i="1" s="1"/>
  <c r="AV7" i="1" s="1"/>
  <c r="O25" i="1"/>
  <c r="T25" i="1" s="1"/>
  <c r="AJ25" i="1" s="1"/>
  <c r="AV25" i="1" s="1"/>
  <c r="O11" i="1"/>
  <c r="T11" i="1" s="1"/>
  <c r="AJ11" i="1" s="1"/>
  <c r="AV11" i="1" s="1"/>
  <c r="O17" i="1"/>
  <c r="T17" i="1" s="1"/>
  <c r="AJ17" i="1" s="1"/>
  <c r="AV17" i="1" s="1"/>
  <c r="O14" i="1"/>
  <c r="O26" i="1"/>
  <c r="T26" i="1" s="1"/>
  <c r="AJ26" i="1" s="1"/>
  <c r="AV26" i="1" s="1"/>
  <c r="O24" i="1"/>
  <c r="T24" i="1" s="1"/>
  <c r="AJ24" i="1" s="1"/>
  <c r="AV24" i="1" s="1"/>
  <c r="O29" i="1"/>
  <c r="T29" i="1" s="1"/>
  <c r="AJ29" i="1" s="1"/>
  <c r="AV29" i="1" s="1"/>
  <c r="O20" i="1"/>
  <c r="T20" i="1" s="1"/>
  <c r="AJ20" i="1" s="1"/>
  <c r="AV20" i="1" s="1"/>
  <c r="O23" i="1"/>
  <c r="T23" i="1" s="1"/>
  <c r="AJ23" i="1" s="1"/>
  <c r="AV23" i="1" s="1"/>
  <c r="O18" i="1"/>
  <c r="T18" i="1" s="1"/>
  <c r="AJ18" i="1" s="1"/>
  <c r="AV18" i="1" s="1"/>
  <c r="O13" i="1"/>
  <c r="T13" i="1" s="1"/>
  <c r="AJ13" i="1" s="1"/>
  <c r="AV13" i="1" s="1"/>
  <c r="O10" i="1"/>
  <c r="T10" i="1" s="1"/>
  <c r="AJ10" i="1" s="1"/>
  <c r="AV10" i="1" s="1"/>
  <c r="O15" i="1"/>
  <c r="T15" i="1" s="1"/>
  <c r="AJ15" i="1" s="1"/>
  <c r="AV15" i="1" s="1"/>
  <c r="AC34" i="3" l="1"/>
  <c r="AC37" i="3" s="1"/>
  <c r="AF45" i="1"/>
  <c r="P14" i="1"/>
  <c r="T14" i="1" s="1"/>
  <c r="AJ14" i="1" s="1"/>
  <c r="AV14" i="1" s="1"/>
  <c r="N21" i="1"/>
  <c r="O8" i="1"/>
  <c r="N27" i="1"/>
  <c r="O22" i="1"/>
  <c r="AE34" i="3" l="1"/>
  <c r="AE37" i="3" s="1"/>
  <c r="N28" i="1"/>
  <c r="N30" i="1" s="1"/>
  <c r="O27" i="1"/>
  <c r="O21" i="1"/>
  <c r="O28" i="1" l="1"/>
  <c r="O30" i="1" s="1"/>
  <c r="T8" i="1"/>
  <c r="P21" i="1"/>
  <c r="P27" i="1"/>
  <c r="T22" i="1"/>
  <c r="T21" i="1" l="1"/>
  <c r="AJ8" i="1"/>
  <c r="AV8" i="1" s="1"/>
  <c r="AV21" i="1" s="1"/>
  <c r="T27" i="1"/>
  <c r="AJ22" i="1"/>
  <c r="AV22" i="1" s="1"/>
  <c r="AV27" i="1" s="1"/>
  <c r="AV28" i="1" s="1"/>
  <c r="AV30" i="1" s="1"/>
  <c r="P28" i="1"/>
  <c r="P30" i="1" s="1"/>
  <c r="AA21" i="1"/>
  <c r="AA27" i="1"/>
  <c r="T28" i="1" l="1"/>
  <c r="T30" i="1" s="1"/>
  <c r="AA28" i="1"/>
  <c r="AA30" i="1" s="1"/>
  <c r="AJ21" i="1"/>
  <c r="AE21" i="1"/>
  <c r="AE27" i="1"/>
  <c r="AJ27" i="1"/>
  <c r="AJ28" i="1" l="1"/>
  <c r="AJ30" i="1" s="1"/>
  <c r="AE28" i="1"/>
  <c r="AE30" i="1" s="1"/>
</calcChain>
</file>

<file path=xl/sharedStrings.xml><?xml version="1.0" encoding="utf-8"?>
<sst xmlns="http://schemas.openxmlformats.org/spreadsheetml/2006/main" count="381" uniqueCount="283">
  <si>
    <t>№ по ред</t>
  </si>
  <si>
    <t>Училище</t>
  </si>
  <si>
    <t>ЕРС-2018г.</t>
  </si>
  <si>
    <t>НУ"Ил.Бл."</t>
  </si>
  <si>
    <t>НУ"Кн.Б.І"</t>
  </si>
  <si>
    <t>ІІ - ро ОУ</t>
  </si>
  <si>
    <t>ІІІ - то ОУ</t>
  </si>
  <si>
    <t>VІ - то ОУ</t>
  </si>
  <si>
    <t>СУ"Й.Е.Бълг."</t>
  </si>
  <si>
    <t>СУ"С.Добр."</t>
  </si>
  <si>
    <t>проф. Изкуства</t>
  </si>
  <si>
    <t>СУ"В. Левски"</t>
  </si>
  <si>
    <t>СУ"П.Волов"</t>
  </si>
  <si>
    <t>СУ"Тр.Сим."</t>
  </si>
  <si>
    <t>П П М Г</t>
  </si>
  <si>
    <t>П Е Г</t>
  </si>
  <si>
    <t>ОУ с.Ивански</t>
  </si>
  <si>
    <t>Всичко без средищни</t>
  </si>
  <si>
    <t>ІХ -то ОУ</t>
  </si>
  <si>
    <t>ОУ с.Градище</t>
  </si>
  <si>
    <t>ОУ Царев брод</t>
  </si>
  <si>
    <t>ОУ с.Друмево</t>
  </si>
  <si>
    <t>ОУ с.Мадара</t>
  </si>
  <si>
    <t>Вс.средищни</t>
  </si>
  <si>
    <t>Вс.ООУ+средищни</t>
  </si>
  <si>
    <r>
      <t>Образов.1</t>
    </r>
    <r>
      <rPr>
        <sz val="11"/>
        <rFont val="Arial"/>
        <family val="2"/>
        <charset val="204"/>
      </rPr>
      <t xml:space="preserve">-разчет </t>
    </r>
    <r>
      <rPr>
        <b/>
        <sz val="11"/>
        <rFont val="Arial"/>
        <family val="2"/>
        <charset val="204"/>
      </rPr>
      <t>-</t>
    </r>
    <r>
      <rPr>
        <sz val="11"/>
        <rFont val="Arial"/>
        <family val="2"/>
        <charset val="204"/>
      </rPr>
      <t xml:space="preserve"> фактич.нат.пок.</t>
    </r>
  </si>
  <si>
    <t>Общ."Младост"</t>
  </si>
  <si>
    <t>Общеж. № 2</t>
  </si>
  <si>
    <t>ПГССХТ</t>
  </si>
  <si>
    <t>Обр.1-разл.разчет-фактич</t>
  </si>
  <si>
    <t xml:space="preserve"> Вс.общеж. д. 332</t>
  </si>
  <si>
    <t>рег. коеф.</t>
  </si>
  <si>
    <t>Брой институции</t>
  </si>
  <si>
    <t xml:space="preserve">Вс.І - ХІІ  </t>
  </si>
  <si>
    <t>в това число:</t>
  </si>
  <si>
    <t>Сума институция</t>
  </si>
  <si>
    <t>Сума паралелка/ група</t>
  </si>
  <si>
    <t>Сума за ученик в общообр парал.</t>
  </si>
  <si>
    <t>Сума за разпределние 100%</t>
  </si>
  <si>
    <t>допълнителни компоненти</t>
  </si>
  <si>
    <t>Сума за разпределение след формула</t>
  </si>
  <si>
    <t>пар.</t>
  </si>
  <si>
    <t>Общ брой ученици по АДМ 010118</t>
  </si>
  <si>
    <t>в общообр парал.</t>
  </si>
  <si>
    <t xml:space="preserve">в т.ч. индив обуч </t>
  </si>
  <si>
    <t>в т.ч. самост обуч</t>
  </si>
  <si>
    <t>в т.ч.  веч. обуч</t>
  </si>
  <si>
    <t>в т.ч. изкуства</t>
  </si>
  <si>
    <t>д. 322</t>
  </si>
  <si>
    <t>профил изкуства</t>
  </si>
  <si>
    <r>
      <t>Добавка</t>
    </r>
    <r>
      <rPr>
        <sz val="11"/>
        <rFont val="Arial"/>
        <family val="2"/>
        <charset val="204"/>
      </rPr>
      <t xml:space="preserve"> за матер.б. </t>
    </r>
    <r>
      <rPr>
        <b/>
        <sz val="11"/>
        <rFont val="Arial"/>
        <family val="2"/>
        <charset val="204"/>
      </rPr>
      <t>25 лв</t>
    </r>
    <r>
      <rPr>
        <sz val="11"/>
        <rFont val="Arial"/>
        <family val="2"/>
        <charset val="204"/>
      </rPr>
      <t>. 1уч. ред.об.</t>
    </r>
  </si>
  <si>
    <t>комбинирана ф. на обуч.</t>
  </si>
  <si>
    <t>Закуски</t>
  </si>
  <si>
    <t>Стипендии      § 40</t>
  </si>
  <si>
    <t>Бюджет вс.форми на обуч. + добавки</t>
  </si>
  <si>
    <t>в т.ч. индив обуч к.6</t>
  </si>
  <si>
    <t>в т.ч. самост к.6</t>
  </si>
  <si>
    <t>в т.ч.  веч. обуч к.7</t>
  </si>
  <si>
    <t>изк. Група</t>
  </si>
  <si>
    <t>в т.ч. изкуства учен.</t>
  </si>
  <si>
    <t>регион.коеф.</t>
  </si>
  <si>
    <t>брой ученици</t>
  </si>
  <si>
    <t>Добавка за комб.форма</t>
  </si>
  <si>
    <t>Бр. учен ППГ   І-ІV кл</t>
  </si>
  <si>
    <r>
      <t>Добавка</t>
    </r>
    <r>
      <rPr>
        <sz val="11"/>
        <rFont val="Arial"/>
        <family val="2"/>
        <charset val="204"/>
      </rPr>
      <t xml:space="preserve"> за закуски</t>
    </r>
    <r>
      <rPr>
        <b/>
        <sz val="11"/>
        <rFont val="Arial"/>
        <family val="2"/>
        <charset val="204"/>
      </rPr>
      <t xml:space="preserve"> 72лв.</t>
    </r>
    <r>
      <rPr>
        <sz val="11"/>
        <rFont val="Arial"/>
        <family val="2"/>
        <charset val="204"/>
      </rPr>
      <t xml:space="preserve"> за 1уч.</t>
    </r>
  </si>
  <si>
    <t>12б</t>
  </si>
  <si>
    <t>д. 332</t>
  </si>
  <si>
    <t>ЕРС инст.</t>
  </si>
  <si>
    <t>Формула ЦДО 2018 г.</t>
  </si>
  <si>
    <t>Целодн.орг</t>
  </si>
  <si>
    <t>Общо средства ЦДО 100%</t>
  </si>
  <si>
    <t>Общо средства след формула</t>
  </si>
  <si>
    <r>
      <t xml:space="preserve">Бр. групи </t>
    </r>
    <r>
      <rPr>
        <b/>
        <sz val="11"/>
        <rFont val="Arial"/>
        <family val="2"/>
        <charset val="204"/>
      </rPr>
      <t>ЦДО</t>
    </r>
  </si>
  <si>
    <t>Средства за ЦДО и обяд групи</t>
  </si>
  <si>
    <r>
      <t>Бр. учен</t>
    </r>
    <r>
      <rPr>
        <b/>
        <sz val="11"/>
        <rFont val="Arial"/>
        <family val="2"/>
        <charset val="204"/>
      </rPr>
      <t xml:space="preserve"> І-VII </t>
    </r>
    <r>
      <rPr>
        <sz val="11"/>
        <rFont val="Arial"/>
        <family val="2"/>
        <charset val="204"/>
      </rPr>
      <t>кл.-</t>
    </r>
    <r>
      <rPr>
        <b/>
        <sz val="11"/>
        <rFont val="Arial"/>
        <family val="2"/>
        <charset val="204"/>
      </rPr>
      <t xml:space="preserve"> ЦДО</t>
    </r>
  </si>
  <si>
    <t xml:space="preserve">Средства за ЦДО и обяд I-VІI кл </t>
  </si>
  <si>
    <t>основен комп.</t>
  </si>
  <si>
    <t>допълн.комп. за обхват на ЦДО</t>
  </si>
  <si>
    <t>Брой учен I-VII клас (средищни у-ща I-VIII)</t>
  </si>
  <si>
    <t>% на обхвата на ученици на ЦО</t>
  </si>
  <si>
    <t>Общ бюджет 2018 г. +ЦДО</t>
  </si>
  <si>
    <t>Средства в държавно делегирана дейност разпределени чрез формула съгласно Заповед РД 25-372/ 28.02.2018 г. и всички допълващи стандарти по дейности и разпоредители с бюджет за Община Шумен</t>
  </si>
  <si>
    <r>
      <t>Вс.д.322+Обр.1-</t>
    </r>
    <r>
      <rPr>
        <b/>
        <sz val="11"/>
        <color indexed="10"/>
        <rFont val="Arial"/>
        <family val="2"/>
        <charset val="204"/>
      </rPr>
      <t>ЗДБ</t>
    </r>
  </si>
  <si>
    <t>СУ "С. Добр."</t>
  </si>
  <si>
    <t>д.д. 326</t>
  </si>
  <si>
    <t>Просвета 1-</t>
  </si>
  <si>
    <t>ЗДБРБ 2018 г.</t>
  </si>
  <si>
    <t>усл. за личността</t>
  </si>
  <si>
    <t>физ. науки, произв.</t>
  </si>
  <si>
    <t>селско, горско стоп.</t>
  </si>
  <si>
    <t>задочна</t>
  </si>
  <si>
    <t>изкуства</t>
  </si>
  <si>
    <t>самост</t>
  </si>
  <si>
    <t>вечерна</t>
  </si>
  <si>
    <t>селско,горско стоп.</t>
  </si>
  <si>
    <t>самост.</t>
  </si>
  <si>
    <t>ЕРС 2018</t>
  </si>
  <si>
    <t>държавна дейност 326 "Професионални гимназии и професионални паралелки"</t>
  </si>
  <si>
    <t>Бр. инст.</t>
  </si>
  <si>
    <t>Бр. пар.</t>
  </si>
  <si>
    <t>Бр. уч., в т.ч.</t>
  </si>
  <si>
    <t>Сума за инст.</t>
  </si>
  <si>
    <t>Сума за парал.</t>
  </si>
  <si>
    <t>сума за ученици в направл:</t>
  </si>
  <si>
    <t>рег. Коеф.</t>
  </si>
  <si>
    <t>Сума за разпред. по ЕРС</t>
  </si>
  <si>
    <t>други форми на обуч.</t>
  </si>
  <si>
    <t>Стипендии-бр. ученици</t>
  </si>
  <si>
    <t>неспец. +усл. за личн.</t>
  </si>
  <si>
    <t>в проф. направл. -усл. за личн.</t>
  </si>
  <si>
    <t>Общо за д.д. 326</t>
  </si>
  <si>
    <r>
      <t>Добавка</t>
    </r>
    <r>
      <rPr>
        <sz val="11"/>
        <rFont val="Arial"/>
        <family val="2"/>
        <charset val="204"/>
      </rPr>
      <t xml:space="preserve"> за мат.б. </t>
    </r>
    <r>
      <rPr>
        <b/>
        <sz val="11"/>
        <rFont val="Arial"/>
        <family val="2"/>
        <charset val="204"/>
      </rPr>
      <t>25 лв</t>
    </r>
    <r>
      <rPr>
        <sz val="11"/>
        <rFont val="Arial"/>
        <family val="2"/>
        <charset val="204"/>
      </rPr>
      <t>. 1уч. ред.об.</t>
    </r>
  </si>
  <si>
    <t>Рес.обуч.</t>
  </si>
  <si>
    <t>Норматив за рес. подпом.</t>
  </si>
  <si>
    <t>Брой учен на рес об.</t>
  </si>
  <si>
    <r>
      <t>Доб</t>
    </r>
    <r>
      <rPr>
        <b/>
        <sz val="10"/>
        <rFont val="Arial"/>
        <family val="2"/>
        <charset val="204"/>
      </rPr>
      <t>авка</t>
    </r>
    <r>
      <rPr>
        <sz val="9"/>
        <rFont val="Arial"/>
        <family val="2"/>
        <charset val="204"/>
      </rPr>
      <t xml:space="preserve"> за рес.об</t>
    </r>
    <r>
      <rPr>
        <b/>
        <sz val="11"/>
        <rFont val="Arial"/>
        <family val="2"/>
        <charset val="204"/>
      </rPr>
      <t xml:space="preserve">. </t>
    </r>
    <r>
      <rPr>
        <sz val="10"/>
        <rFont val="Arial"/>
        <family val="2"/>
        <charset val="204"/>
      </rPr>
      <t xml:space="preserve"> за</t>
    </r>
    <r>
      <rPr>
        <sz val="9"/>
        <rFont val="Arial"/>
        <family val="2"/>
        <charset val="204"/>
      </rPr>
      <t xml:space="preserve"> 1уч.</t>
    </r>
  </si>
  <si>
    <t>3а</t>
  </si>
  <si>
    <t>3б</t>
  </si>
  <si>
    <t>3в</t>
  </si>
  <si>
    <t>3г</t>
  </si>
  <si>
    <t>3д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</si>
  <si>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</si>
  <si>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</si>
  <si>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</si>
  <si>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</si>
  <si>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</si>
  <si>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</si>
  <si>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</si>
  <si>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</si>
  <si>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</si>
  <si>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</si>
  <si>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</si>
  <si>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11а</t>
  </si>
  <si>
    <t>11б</t>
  </si>
  <si>
    <t>12а</t>
  </si>
  <si>
    <t>13а</t>
  </si>
  <si>
    <t>14а</t>
  </si>
  <si>
    <t>13б</t>
  </si>
  <si>
    <t>14б</t>
  </si>
  <si>
    <t>16а</t>
  </si>
  <si>
    <t>16б</t>
  </si>
  <si>
    <t>16в</t>
  </si>
  <si>
    <t>16г</t>
  </si>
  <si>
    <t>16д</t>
  </si>
  <si>
    <t>17а</t>
  </si>
  <si>
    <t>17б</t>
  </si>
  <si>
    <r>
      <t>Образов.1</t>
    </r>
    <r>
      <rPr>
        <sz val="10"/>
        <rFont val="Arial"/>
        <family val="2"/>
        <charset val="204"/>
      </rPr>
      <t xml:space="preserve">-разчет </t>
    </r>
    <r>
      <rPr>
        <b/>
        <sz val="12"/>
        <rFont val="Arial"/>
        <family val="2"/>
        <charset val="204"/>
      </rPr>
      <t>-</t>
    </r>
    <r>
      <rPr>
        <sz val="10"/>
        <rFont val="Arial"/>
        <family val="2"/>
        <charset val="204"/>
      </rPr>
      <t xml:space="preserve"> фактич.нат.пок.</t>
    </r>
  </si>
  <si>
    <t>Средства в държавно делегирана дейност за дейност 338 "Ресурсно подпомагане" разпределени между разпоредители с бюджет за Община Шумен</t>
  </si>
  <si>
    <t>Общински училища</t>
  </si>
  <si>
    <t>* Допълнително средства ще бъдат осигурени след извършване на корекция на бюджета на Община Шумен от МФ по натурални показатели към 01.01.18 г.</t>
  </si>
  <si>
    <t>Общински детски градини</t>
  </si>
  <si>
    <t>Детска градина</t>
  </si>
  <si>
    <t>д. 338</t>
  </si>
  <si>
    <r>
      <t>Доб</t>
    </r>
    <r>
      <rPr>
        <b/>
        <sz val="10"/>
        <rFont val="Arial"/>
        <family val="2"/>
        <charset val="204"/>
      </rPr>
      <t>авка</t>
    </r>
    <r>
      <rPr>
        <sz val="9"/>
        <rFont val="Arial"/>
        <family val="2"/>
        <charset val="204"/>
      </rPr>
      <t xml:space="preserve"> за рес.об</t>
    </r>
    <r>
      <rPr>
        <b/>
        <sz val="11"/>
        <rFont val="Arial"/>
        <family val="2"/>
        <charset val="204"/>
      </rPr>
      <t xml:space="preserve">. </t>
    </r>
    <r>
      <rPr>
        <sz val="10"/>
        <rFont val="Arial"/>
        <family val="2"/>
        <charset val="204"/>
      </rPr>
      <t xml:space="preserve"> за</t>
    </r>
    <r>
      <rPr>
        <sz val="9"/>
        <rFont val="Arial"/>
        <family val="2"/>
        <charset val="204"/>
      </rPr>
      <t xml:space="preserve"> 1 дете</t>
    </r>
  </si>
  <si>
    <t>О  В  З</t>
  </si>
  <si>
    <r>
      <t xml:space="preserve">Бр.деца разчет=АДМ към 01.10.17г. за бюджет АКТУАЛ. за </t>
    </r>
    <r>
      <rPr>
        <b/>
        <sz val="12"/>
        <rFont val="Arial"/>
        <family val="2"/>
        <charset val="204"/>
      </rPr>
      <t>2018</t>
    </r>
    <r>
      <rPr>
        <b/>
        <sz val="11"/>
        <rFont val="Arial"/>
        <family val="2"/>
        <charset val="204"/>
      </rPr>
      <t xml:space="preserve"> г.</t>
    </r>
  </si>
  <si>
    <r>
      <t>Добавка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rFont val="Arial"/>
        <family val="2"/>
        <charset val="204"/>
      </rPr>
      <t>за закуски</t>
    </r>
    <r>
      <rPr>
        <sz val="11"/>
        <color theme="1"/>
        <rFont val="Calibri"/>
        <family val="2"/>
        <scheme val="minor"/>
      </rPr>
      <t xml:space="preserve"> на 5-6г. Деца</t>
    </r>
  </si>
  <si>
    <t>Брой  групи</t>
  </si>
  <si>
    <t>в т.ч.:</t>
  </si>
  <si>
    <t>Полаг суми за група</t>
  </si>
  <si>
    <r>
      <t>Полаг суми</t>
    </r>
    <r>
      <rPr>
        <b/>
        <sz val="11"/>
        <rFont val="Arial"/>
        <family val="2"/>
        <charset val="204"/>
      </rPr>
      <t xml:space="preserve"> по ЕРС- за</t>
    </r>
    <r>
      <rPr>
        <b/>
        <sz val="12"/>
        <rFont val="Arial"/>
        <family val="2"/>
        <charset val="204"/>
      </rPr>
      <t xml:space="preserve"> 5</t>
    </r>
    <r>
      <rPr>
        <b/>
        <sz val="11"/>
        <rFont val="Arial"/>
        <family val="2"/>
        <charset val="204"/>
      </rPr>
      <t xml:space="preserve"> и </t>
    </r>
    <r>
      <rPr>
        <b/>
        <sz val="12"/>
        <rFont val="Arial"/>
        <family val="2"/>
        <charset val="204"/>
      </rPr>
      <t>6г</t>
    </r>
    <r>
      <rPr>
        <b/>
        <sz val="11"/>
        <rFont val="Arial"/>
        <family val="2"/>
        <charset val="204"/>
      </rPr>
      <t>.</t>
    </r>
  </si>
  <si>
    <t>Регион. коеф.</t>
  </si>
  <si>
    <r>
      <t>деца</t>
    </r>
    <r>
      <rPr>
        <b/>
        <sz val="11"/>
        <rFont val="Arial"/>
        <family val="2"/>
        <charset val="204"/>
      </rPr>
      <t xml:space="preserve"> 5 г. ЦО</t>
    </r>
  </si>
  <si>
    <r>
      <t>деца</t>
    </r>
    <r>
      <rPr>
        <b/>
        <sz val="11"/>
        <rFont val="Arial"/>
        <family val="2"/>
        <charset val="204"/>
      </rPr>
      <t xml:space="preserve"> 6 г. ЦО</t>
    </r>
  </si>
  <si>
    <t>ЕРС- 18г.- ППГ -д.318</t>
  </si>
  <si>
    <t>6г</t>
  </si>
  <si>
    <t>НУ"Ил.Блъсков"</t>
  </si>
  <si>
    <t>VІ ОУ</t>
  </si>
  <si>
    <t>СОУ"Тр.С."</t>
  </si>
  <si>
    <t>Вс.ППГ учил. д. 318</t>
  </si>
  <si>
    <t>брой деца</t>
  </si>
  <si>
    <r>
      <t xml:space="preserve"> Р</t>
    </r>
    <r>
      <rPr>
        <sz val="11"/>
        <rFont val="Arial"/>
        <family val="2"/>
        <charset val="204"/>
      </rPr>
      <t>азчет за бюджет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rFont val="Arial"/>
        <family val="2"/>
        <charset val="204"/>
      </rPr>
      <t>2018 г.</t>
    </r>
  </si>
  <si>
    <r>
      <t>100 % по ЕРС</t>
    </r>
    <r>
      <rPr>
        <sz val="9"/>
        <rFont val="Arial"/>
        <family val="2"/>
        <charset val="204"/>
      </rPr>
      <t/>
    </r>
  </si>
  <si>
    <r>
      <t>100</t>
    </r>
    <r>
      <rPr>
        <b/>
        <sz val="11"/>
        <rFont val="Arial"/>
        <family val="2"/>
        <charset val="204"/>
      </rPr>
      <t xml:space="preserve"> % по ЕРС плюс добавките</t>
    </r>
  </si>
  <si>
    <r>
      <t xml:space="preserve">Брой деца от </t>
    </r>
    <r>
      <rPr>
        <b/>
        <sz val="11"/>
        <rFont val="Arial"/>
        <family val="2"/>
        <charset val="204"/>
      </rPr>
      <t>ППГ</t>
    </r>
    <r>
      <rPr>
        <sz val="10"/>
        <rFont val="Arial"/>
        <family val="2"/>
        <charset val="204"/>
      </rPr>
      <t xml:space="preserve"> -</t>
    </r>
    <r>
      <rPr>
        <b/>
        <sz val="11"/>
        <rFont val="Arial"/>
        <family val="2"/>
        <charset val="204"/>
      </rPr>
      <t xml:space="preserve"> за закуски</t>
    </r>
  </si>
  <si>
    <t>ЦДГ с учит музика</t>
  </si>
  <si>
    <r>
      <t xml:space="preserve">Деца на </t>
    </r>
    <r>
      <rPr>
        <b/>
        <sz val="11"/>
        <rFont val="Arial"/>
        <family val="2"/>
        <charset val="204"/>
      </rPr>
      <t>ресурсно</t>
    </r>
    <r>
      <rPr>
        <sz val="10"/>
        <rFont val="Arial"/>
        <family val="2"/>
        <charset val="204"/>
      </rPr>
      <t xml:space="preserve"> подп</t>
    </r>
  </si>
  <si>
    <r>
      <t>Деца</t>
    </r>
    <r>
      <rPr>
        <b/>
        <sz val="11"/>
        <rFont val="Arial"/>
        <family val="2"/>
        <charset val="204"/>
      </rPr>
      <t xml:space="preserve"> яслена</t>
    </r>
    <r>
      <rPr>
        <sz val="11"/>
        <rFont val="Arial"/>
        <family val="2"/>
        <charset val="204"/>
      </rPr>
      <t xml:space="preserve"> гр</t>
    </r>
  </si>
  <si>
    <t>Сума за институция</t>
  </si>
  <si>
    <t>Сума за брой групи</t>
  </si>
  <si>
    <r>
      <t>Полаг се суми</t>
    </r>
    <r>
      <rPr>
        <b/>
        <sz val="11"/>
        <rFont val="Arial"/>
        <family val="2"/>
        <charset val="204"/>
      </rPr>
      <t xml:space="preserve"> по ЕРС за    2-4г.</t>
    </r>
  </si>
  <si>
    <r>
      <t>Полаг суми</t>
    </r>
    <r>
      <rPr>
        <b/>
        <sz val="11"/>
        <rFont val="Arial"/>
        <family val="2"/>
        <charset val="204"/>
      </rPr>
      <t xml:space="preserve"> по ЕРС-5 и </t>
    </r>
    <r>
      <rPr>
        <b/>
        <sz val="12"/>
        <rFont val="Arial"/>
        <family val="2"/>
        <charset val="204"/>
      </rPr>
      <t>6г</t>
    </r>
    <r>
      <rPr>
        <b/>
        <sz val="11"/>
        <rFont val="Arial"/>
        <family val="2"/>
        <charset val="204"/>
      </rPr>
      <t>.</t>
    </r>
  </si>
  <si>
    <r>
      <t xml:space="preserve">Суми </t>
    </r>
    <r>
      <rPr>
        <b/>
        <sz val="11"/>
        <rFont val="Arial"/>
        <family val="2"/>
        <charset val="204"/>
      </rPr>
      <t xml:space="preserve">по ЕРС - </t>
    </r>
    <r>
      <rPr>
        <b/>
        <sz val="12"/>
        <rFont val="Arial"/>
        <family val="2"/>
        <charset val="204"/>
      </rPr>
      <t>яслени</t>
    </r>
    <r>
      <rPr>
        <b/>
        <sz val="11"/>
        <rFont val="Arial"/>
        <family val="2"/>
        <charset val="204"/>
      </rPr>
      <t xml:space="preserve"> гр.</t>
    </r>
  </si>
  <si>
    <t>регионален коефициент</t>
  </si>
  <si>
    <r>
      <rPr>
        <b/>
        <sz val="12"/>
        <rFont val="Arial"/>
        <family val="2"/>
        <charset val="204"/>
      </rPr>
      <t>100%</t>
    </r>
    <r>
      <rPr>
        <b/>
        <sz val="11"/>
        <rFont val="Arial"/>
        <family val="2"/>
        <charset val="204"/>
      </rPr>
      <t xml:space="preserve"> Всичко по ЕРС </t>
    </r>
    <r>
      <rPr>
        <b/>
        <sz val="12"/>
        <rFont val="Arial"/>
        <family val="2"/>
        <charset val="204"/>
      </rPr>
      <t xml:space="preserve">2018 </t>
    </r>
    <r>
      <rPr>
        <b/>
        <sz val="11"/>
        <rFont val="Arial"/>
        <family val="2"/>
        <charset val="204"/>
      </rPr>
      <t>г.</t>
    </r>
    <r>
      <rPr>
        <sz val="9"/>
        <rFont val="Arial"/>
        <family val="2"/>
        <charset val="204"/>
      </rPr>
      <t xml:space="preserve"> к</t>
    </r>
    <r>
      <rPr>
        <b/>
        <sz val="9"/>
        <rFont val="Arial"/>
        <family val="2"/>
        <charset val="204"/>
      </rPr>
      <t>.11+12+ 13+14           с ясли</t>
    </r>
  </si>
  <si>
    <r>
      <rPr>
        <b/>
        <sz val="12"/>
        <rFont val="Arial"/>
        <family val="2"/>
        <charset val="204"/>
      </rPr>
      <t>100%</t>
    </r>
    <r>
      <rPr>
        <b/>
        <sz val="11"/>
        <rFont val="Arial"/>
        <family val="2"/>
        <charset val="204"/>
      </rPr>
      <t xml:space="preserve"> Всичко по ЕРС </t>
    </r>
    <r>
      <rPr>
        <b/>
        <sz val="12"/>
        <rFont val="Arial"/>
        <family val="2"/>
        <charset val="204"/>
      </rPr>
      <t>2018</t>
    </r>
    <r>
      <rPr>
        <b/>
        <sz val="11"/>
        <rFont val="Arial"/>
        <family val="2"/>
        <charset val="204"/>
      </rPr>
      <t xml:space="preserve">г. </t>
    </r>
    <r>
      <rPr>
        <b/>
        <sz val="12"/>
        <color indexed="10"/>
        <rFont val="Arial"/>
        <family val="2"/>
        <charset val="204"/>
      </rPr>
      <t>без ясли</t>
    </r>
    <r>
      <rPr>
        <sz val="9"/>
        <rFont val="Arial"/>
        <family val="2"/>
        <charset val="204"/>
      </rPr>
      <t xml:space="preserve"> к</t>
    </r>
    <r>
      <rPr>
        <b/>
        <sz val="9"/>
        <rFont val="Arial"/>
        <family val="2"/>
        <charset val="204"/>
      </rPr>
      <t>.11+12+ 13</t>
    </r>
  </si>
  <si>
    <t>Средства по формула</t>
  </si>
  <si>
    <r>
      <t>Вс.по</t>
    </r>
    <r>
      <rPr>
        <b/>
        <sz val="12"/>
        <rFont val="Arial"/>
        <family val="2"/>
        <charset val="204"/>
      </rPr>
      <t xml:space="preserve"> форм</t>
    </r>
    <r>
      <rPr>
        <b/>
        <sz val="11"/>
        <rFont val="Arial"/>
        <family val="2"/>
        <charset val="204"/>
      </rPr>
      <t xml:space="preserve">. за ЦДГ </t>
    </r>
    <r>
      <rPr>
        <sz val="9"/>
        <rFont val="Arial"/>
        <family val="2"/>
        <charset val="204"/>
      </rPr>
      <t xml:space="preserve"> к</t>
    </r>
    <r>
      <rPr>
        <b/>
        <sz val="9"/>
        <rFont val="Arial"/>
        <family val="2"/>
        <charset val="204"/>
      </rPr>
      <t xml:space="preserve">.16а+16б+ 16в+16г+16д+16е+16ж   </t>
    </r>
    <r>
      <rPr>
        <b/>
        <sz val="11"/>
        <rFont val="Arial"/>
        <family val="2"/>
        <charset val="204"/>
      </rPr>
      <t xml:space="preserve">  без ясли</t>
    </r>
  </si>
  <si>
    <t>в т.ч. Резерв</t>
  </si>
  <si>
    <r>
      <t xml:space="preserve">Вс.за ЦДГ форм + ясли </t>
    </r>
    <r>
      <rPr>
        <b/>
        <sz val="9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 к</t>
    </r>
    <r>
      <rPr>
        <b/>
        <sz val="8"/>
        <rFont val="Arial"/>
        <family val="2"/>
        <charset val="204"/>
      </rPr>
      <t>.17+ к.14</t>
    </r>
    <r>
      <rPr>
        <b/>
        <sz val="9"/>
        <rFont val="Arial"/>
        <family val="2"/>
        <charset val="204"/>
      </rPr>
      <t xml:space="preserve">     </t>
    </r>
    <r>
      <rPr>
        <b/>
        <sz val="11"/>
        <rFont val="Arial"/>
        <family val="2"/>
        <charset val="204"/>
      </rPr>
      <t>с ясли</t>
    </r>
  </si>
  <si>
    <t>Добавки</t>
  </si>
  <si>
    <r>
      <t xml:space="preserve">Вс.за ЦДГ форм + добавки + ясли </t>
    </r>
    <r>
      <rPr>
        <b/>
        <sz val="9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 к</t>
    </r>
    <r>
      <rPr>
        <b/>
        <sz val="8"/>
        <rFont val="Arial"/>
        <family val="2"/>
        <charset val="204"/>
      </rPr>
      <t>.19+20+21</t>
    </r>
    <r>
      <rPr>
        <b/>
        <sz val="9"/>
        <rFont val="Arial"/>
        <family val="2"/>
        <charset val="204"/>
      </rPr>
      <t xml:space="preserve">     </t>
    </r>
    <r>
      <rPr>
        <b/>
        <sz val="11"/>
        <rFont val="Arial"/>
        <family val="2"/>
        <charset val="204"/>
      </rPr>
      <t>с ясли</t>
    </r>
  </si>
  <si>
    <r>
      <t>деца</t>
    </r>
    <r>
      <rPr>
        <b/>
        <sz val="11"/>
        <rFont val="Arial"/>
        <family val="2"/>
        <charset val="204"/>
      </rPr>
      <t xml:space="preserve">   2-4 г.</t>
    </r>
  </si>
  <si>
    <r>
      <t>деца</t>
    </r>
    <r>
      <rPr>
        <b/>
        <sz val="11"/>
        <rFont val="Arial"/>
        <family val="2"/>
        <charset val="204"/>
      </rPr>
      <t xml:space="preserve"> 5-6 г. ЦО</t>
    </r>
  </si>
  <si>
    <r>
      <rPr>
        <b/>
        <sz val="10"/>
        <rFont val="Arial"/>
        <family val="2"/>
        <charset val="204"/>
      </rPr>
      <t>88,14 % по ЕРС  %</t>
    </r>
    <r>
      <rPr>
        <sz val="9"/>
        <rFont val="Arial"/>
        <family val="2"/>
        <charset val="204"/>
      </rPr>
      <t/>
    </r>
  </si>
  <si>
    <r>
      <t xml:space="preserve">1,00 </t>
    </r>
    <r>
      <rPr>
        <b/>
        <sz val="10"/>
        <rFont val="Arial"/>
        <family val="2"/>
        <charset val="204"/>
      </rPr>
      <t xml:space="preserve">% по ЕРС </t>
    </r>
    <r>
      <rPr>
        <b/>
        <sz val="11"/>
        <rFont val="Arial"/>
        <family val="2"/>
        <charset val="204"/>
      </rPr>
      <t>резерв</t>
    </r>
  </si>
  <si>
    <t>кориг.разл. 5,81%</t>
  </si>
  <si>
    <t>2,29 % по ЕРС -за учит. музика</t>
  </si>
  <si>
    <t>1,33 %  доб. за втора кухня</t>
  </si>
  <si>
    <t xml:space="preserve"> 1,43%  доб. за филиали</t>
  </si>
  <si>
    <t>Доб. за закуски 5 и 6 год. деца</t>
  </si>
  <si>
    <t>ДГ "Щурче"</t>
  </si>
  <si>
    <t>ДГ "Светулка"</t>
  </si>
  <si>
    <t>ДГ "Чучулига"</t>
  </si>
  <si>
    <t>ДГ "Пчелица"</t>
  </si>
  <si>
    <t>ДГ Струйно</t>
  </si>
  <si>
    <t>ДГ с.Черенча</t>
  </si>
  <si>
    <t>ДГ Градище</t>
  </si>
  <si>
    <t>ДГ Новосел</t>
  </si>
  <si>
    <t>ДГ Салманово</t>
  </si>
  <si>
    <t>ДГ Ц.брод</t>
  </si>
  <si>
    <t>ДГ Вехтово</t>
  </si>
  <si>
    <t>ДГ Дибич</t>
  </si>
  <si>
    <t>ДГ Друмево</t>
  </si>
  <si>
    <t>ДГ Мадара</t>
  </si>
  <si>
    <t>Вс. за д. 311</t>
  </si>
  <si>
    <t>Общ бр. и суми ЕРС</t>
  </si>
  <si>
    <r>
      <t>ПРОСВ.1</t>
    </r>
    <r>
      <rPr>
        <sz val="11"/>
        <color theme="1"/>
        <rFont val="Calibri"/>
        <family val="2"/>
        <scheme val="minor"/>
      </rPr>
      <t xml:space="preserve"> - Г.Дин.</t>
    </r>
  </si>
  <si>
    <t>Вс.ЦДГ - д. 311</t>
  </si>
  <si>
    <t>Деца по разчет ЗДБРБ</t>
  </si>
  <si>
    <t>Общ бр. деца</t>
  </si>
  <si>
    <t>Вс деца 2-6</t>
  </si>
  <si>
    <t xml:space="preserve">  ЕРС за д-ст 311</t>
  </si>
  <si>
    <t>ДГ "Звънче"</t>
  </si>
  <si>
    <t>ДГ "Слънце"</t>
  </si>
  <si>
    <t>ДГ "Латинка"</t>
  </si>
  <si>
    <t>ДГ "Брезичка"</t>
  </si>
  <si>
    <t>ДГ "Смехорани"</t>
  </si>
  <si>
    <t>ДГ "Конче Вихрогонче"</t>
  </si>
  <si>
    <t>ДГ "Буратино"</t>
  </si>
  <si>
    <t>ДГ "Братя Грим"</t>
  </si>
  <si>
    <t>ДГ "Златна рибка"</t>
  </si>
  <si>
    <t>ДГ "Космонавт"</t>
  </si>
  <si>
    <t>ДГ "Дружба"</t>
  </si>
  <si>
    <t>ДГ "Пролетна дъга"</t>
  </si>
  <si>
    <t>ДГ "Изворче"</t>
  </si>
  <si>
    <t>ДГ с. Струйно</t>
  </si>
  <si>
    <t>ДГ с. Градище</t>
  </si>
  <si>
    <t>ДГ с. Новосел</t>
  </si>
  <si>
    <t>ДГ с. Салманово</t>
  </si>
  <si>
    <t>ДГ с. Ц.брод</t>
  </si>
  <si>
    <t>ДГ с. Вехтово</t>
  </si>
  <si>
    <t>ДГ с. Дибич</t>
  </si>
  <si>
    <t>ДГ с. Друмево</t>
  </si>
  <si>
    <t>ДГ с. Ивански</t>
  </si>
  <si>
    <t>ДГ с. Мадара</t>
  </si>
  <si>
    <t>Вс. ДГ</t>
  </si>
  <si>
    <r>
      <t>Вс.д.338+Образ.1-</t>
    </r>
    <r>
      <rPr>
        <b/>
        <sz val="9"/>
        <color indexed="10"/>
        <rFont val="Arial"/>
        <family val="2"/>
        <charset val="204"/>
      </rPr>
      <t>ЗДБРБ</t>
    </r>
  </si>
  <si>
    <r>
      <t>Вс.д.338+Обр.1-</t>
    </r>
    <r>
      <rPr>
        <b/>
        <sz val="9"/>
        <color indexed="10"/>
        <rFont val="Arial"/>
        <family val="2"/>
        <charset val="204"/>
      </rPr>
      <t>ЗДБРБ</t>
    </r>
  </si>
  <si>
    <r>
      <t>Образов.1</t>
    </r>
    <r>
      <rPr>
        <sz val="10"/>
        <rFont val="Arial"/>
        <family val="2"/>
        <charset val="204"/>
      </rPr>
      <t xml:space="preserve">-разчет </t>
    </r>
    <r>
      <rPr>
        <b/>
        <sz val="10"/>
        <rFont val="Arial"/>
        <family val="2"/>
        <charset val="204"/>
      </rPr>
      <t>-</t>
    </r>
    <r>
      <rPr>
        <sz val="10"/>
        <rFont val="Arial"/>
        <family val="2"/>
        <charset val="204"/>
      </rPr>
      <t xml:space="preserve"> фактич.нат.пок.</t>
    </r>
  </si>
  <si>
    <t>Всичко за дей- ността</t>
  </si>
  <si>
    <t>Средства в държавно делегирана дейност разпределени чрез формула съгласно Заповед РД 25-371/ 28.02.2018 г. и всички допълващи стандарти по дейности и разпоредители с бюджет за Община Шумен</t>
  </si>
  <si>
    <t>разпределение на средства по формула 2018 година</t>
  </si>
  <si>
    <t>Вс деца</t>
  </si>
  <si>
    <t>средства храна</t>
  </si>
  <si>
    <t>средства за вода, отопление, ел. енергия</t>
  </si>
  <si>
    <t>средства за ПП</t>
  </si>
  <si>
    <t>резерв</t>
  </si>
  <si>
    <t>средства за други разходи</t>
  </si>
  <si>
    <t>Общо за ДГ</t>
  </si>
  <si>
    <t>ДГ Звънче</t>
  </si>
  <si>
    <t>ДГ Слънце</t>
  </si>
  <si>
    <t>ДГ Латинка</t>
  </si>
  <si>
    <t>ДГ Брезичка</t>
  </si>
  <si>
    <t>ДГ Смехорани</t>
  </si>
  <si>
    <t>ДГ Конче Вихрогонче</t>
  </si>
  <si>
    <t>ДГ Буратино</t>
  </si>
  <si>
    <t>ДГ Братя Грим</t>
  </si>
  <si>
    <t>ДГ Златна рибка</t>
  </si>
  <si>
    <t>ДГ Космонавт</t>
  </si>
  <si>
    <t>ДГ Дружба</t>
  </si>
  <si>
    <t>ДГ Пролетна дъга</t>
  </si>
  <si>
    <t>ДГ Изворче</t>
  </si>
  <si>
    <t>ДГ Черенча</t>
  </si>
  <si>
    <t xml:space="preserve">ДГ Ивански </t>
  </si>
  <si>
    <t>Вс.ЦДГ д. 311</t>
  </si>
  <si>
    <r>
      <t>деца</t>
    </r>
    <r>
      <rPr>
        <b/>
        <sz val="11"/>
        <rFont val="Arial"/>
        <family val="2"/>
        <charset val="204"/>
      </rPr>
      <t xml:space="preserve">   2-4г</t>
    </r>
  </si>
  <si>
    <t>Брой деца-01.01.18 г.</t>
  </si>
  <si>
    <t>Резерв м. д. 311</t>
  </si>
  <si>
    <r>
      <t xml:space="preserve">Основен компонент </t>
    </r>
    <r>
      <rPr>
        <b/>
        <sz val="11"/>
        <rFont val="Arial"/>
        <family val="2"/>
        <charset val="204"/>
      </rPr>
      <t>98,64%</t>
    </r>
  </si>
  <si>
    <r>
      <t xml:space="preserve">ЛК </t>
    </r>
    <r>
      <rPr>
        <b/>
        <sz val="11"/>
        <rFont val="Arial"/>
        <family val="2"/>
        <charset val="204"/>
      </rPr>
      <t>0,04%</t>
    </r>
  </si>
  <si>
    <r>
      <t xml:space="preserve">ДК кор. коеф.-отриц. разл. </t>
    </r>
    <r>
      <rPr>
        <b/>
        <sz val="11"/>
        <rFont val="Arial"/>
        <family val="2"/>
        <charset val="204"/>
      </rPr>
      <t>0,315%</t>
    </r>
  </si>
  <si>
    <r>
      <t xml:space="preserve">резерв </t>
    </r>
    <r>
      <rPr>
        <b/>
        <sz val="11"/>
        <rFont val="Arial"/>
        <family val="2"/>
        <charset val="204"/>
      </rPr>
      <t>1,001%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</si>
</sst>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0.000"/>
    <numFmt numFmtId="167" formatCode="0.0000%"/>
    <numFmt numFmtId="168" formatCode="0.0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rgb="FFC0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C0000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charset val="204"/>
    </font>
    <font>
      <b/>
      <sz val="12"/>
      <color indexed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indexed="10"/>
      <name val="Arial"/>
      <family val="2"/>
      <charset val="204"/>
    </font>
    <font>
      <b/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i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12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10" fontId="5" fillId="0" borderId="43" xfId="0" applyNumberFormat="1" applyFont="1" applyBorder="1" applyAlignment="1">
      <alignment horizontal="center"/>
    </xf>
    <xf numFmtId="10" fontId="2" fillId="0" borderId="4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2" fillId="0" borderId="42" xfId="0" applyNumberFormat="1" applyFont="1" applyBorder="1" applyAlignment="1">
      <alignment horizontal="right"/>
    </xf>
    <xf numFmtId="1" fontId="6" fillId="0" borderId="9" xfId="0" applyNumberFormat="1" applyFont="1" applyBorder="1"/>
    <xf numFmtId="1" fontId="3" fillId="0" borderId="44" xfId="0" applyNumberFormat="1" applyFont="1" applyBorder="1"/>
    <xf numFmtId="0" fontId="2" fillId="9" borderId="5" xfId="0" applyFont="1" applyFill="1" applyBorder="1"/>
    <xf numFmtId="0" fontId="2" fillId="9" borderId="15" xfId="0" applyFont="1" applyFill="1" applyBorder="1"/>
    <xf numFmtId="164" fontId="3" fillId="0" borderId="43" xfId="0" applyNumberFormat="1" applyFont="1" applyBorder="1"/>
    <xf numFmtId="164" fontId="3" fillId="0" borderId="5" xfId="0" applyNumberFormat="1" applyFont="1" applyBorder="1"/>
    <xf numFmtId="1" fontId="2" fillId="0" borderId="43" xfId="0" applyNumberFormat="1" applyFont="1" applyBorder="1"/>
    <xf numFmtId="1" fontId="2" fillId="0" borderId="5" xfId="0" applyNumberFormat="1" applyFont="1" applyBorder="1"/>
    <xf numFmtId="1" fontId="3" fillId="6" borderId="43" xfId="0" applyNumberFormat="1" applyFont="1" applyFill="1" applyBorder="1"/>
    <xf numFmtId="164" fontId="2" fillId="0" borderId="5" xfId="0" applyNumberFormat="1" applyFont="1" applyBorder="1"/>
    <xf numFmtId="164" fontId="3" fillId="7" borderId="43" xfId="0" applyNumberFormat="1" applyFont="1" applyFill="1" applyBorder="1"/>
    <xf numFmtId="1" fontId="2" fillId="0" borderId="45" xfId="0" applyNumberFormat="1" applyFont="1" applyBorder="1" applyAlignment="1">
      <alignment horizontal="right"/>
    </xf>
    <xf numFmtId="1" fontId="6" fillId="0" borderId="10" xfId="0" applyNumberFormat="1" applyFont="1" applyBorder="1"/>
    <xf numFmtId="0" fontId="2" fillId="9" borderId="7" xfId="0" applyFont="1" applyFill="1" applyBorder="1"/>
    <xf numFmtId="0" fontId="2" fillId="9" borderId="16" xfId="0" applyFont="1" applyFill="1" applyBorder="1"/>
    <xf numFmtId="1" fontId="7" fillId="0" borderId="10" xfId="0" applyNumberFormat="1" applyFont="1" applyBorder="1"/>
    <xf numFmtId="1" fontId="3" fillId="0" borderId="46" xfId="0" applyNumberFormat="1" applyFont="1" applyBorder="1"/>
    <xf numFmtId="1" fontId="2" fillId="0" borderId="47" xfId="0" applyNumberFormat="1" applyFont="1" applyBorder="1"/>
    <xf numFmtId="1" fontId="2" fillId="0" borderId="48" xfId="0" applyNumberFormat="1" applyFont="1" applyBorder="1" applyAlignment="1">
      <alignment horizontal="right"/>
    </xf>
    <xf numFmtId="1" fontId="3" fillId="0" borderId="0" xfId="0" applyNumberFormat="1" applyFont="1" applyBorder="1"/>
    <xf numFmtId="1" fontId="2" fillId="0" borderId="49" xfId="0" applyNumberFormat="1" applyFont="1" applyBorder="1"/>
    <xf numFmtId="1" fontId="3" fillId="0" borderId="13" xfId="0" applyNumberFormat="1" applyFont="1" applyBorder="1"/>
    <xf numFmtId="1" fontId="3" fillId="0" borderId="50" xfId="0" applyNumberFormat="1" applyFont="1" applyBorder="1"/>
    <xf numFmtId="1" fontId="3" fillId="0" borderId="51" xfId="0" applyNumberFormat="1" applyFont="1" applyBorder="1"/>
    <xf numFmtId="1" fontId="3" fillId="9" borderId="51" xfId="0" applyNumberFormat="1" applyFont="1" applyFill="1" applyBorder="1"/>
    <xf numFmtId="1" fontId="3" fillId="9" borderId="52" xfId="0" applyNumberFormat="1" applyFont="1" applyFill="1" applyBorder="1"/>
    <xf numFmtId="1" fontId="2" fillId="0" borderId="53" xfId="0" applyNumberFormat="1" applyFont="1" applyBorder="1"/>
    <xf numFmtId="1" fontId="2" fillId="0" borderId="51" xfId="0" applyNumberFormat="1" applyFont="1" applyBorder="1"/>
    <xf numFmtId="1" fontId="3" fillId="6" borderId="51" xfId="0" applyNumberFormat="1" applyFont="1" applyFill="1" applyBorder="1"/>
    <xf numFmtId="164" fontId="2" fillId="0" borderId="51" xfId="0" applyNumberFormat="1" applyFont="1" applyBorder="1"/>
    <xf numFmtId="1" fontId="3" fillId="7" borderId="51" xfId="0" applyNumberFormat="1" applyFont="1" applyFill="1" applyBorder="1"/>
    <xf numFmtId="1" fontId="2" fillId="0" borderId="42" xfId="0" applyNumberFormat="1" applyFont="1" applyBorder="1"/>
    <xf numFmtId="1" fontId="2" fillId="0" borderId="45" xfId="0" applyNumberFormat="1" applyFont="1" applyBorder="1"/>
    <xf numFmtId="1" fontId="2" fillId="0" borderId="48" xfId="0" applyNumberFormat="1" applyFont="1" applyBorder="1"/>
    <xf numFmtId="1" fontId="6" fillId="0" borderId="11" xfId="0" applyNumberFormat="1" applyFont="1" applyBorder="1"/>
    <xf numFmtId="0" fontId="2" fillId="9" borderId="36" xfId="0" applyFont="1" applyFill="1" applyBorder="1"/>
    <xf numFmtId="0" fontId="2" fillId="9" borderId="18" xfId="0" applyFont="1" applyFill="1" applyBorder="1"/>
    <xf numFmtId="1" fontId="3" fillId="9" borderId="14" xfId="0" applyNumberFormat="1" applyFont="1" applyFill="1" applyBorder="1"/>
    <xf numFmtId="1" fontId="3" fillId="5" borderId="50" xfId="0" applyNumberFormat="1" applyFont="1" applyFill="1" applyBorder="1"/>
    <xf numFmtId="1" fontId="3" fillId="5" borderId="51" xfId="0" applyNumberFormat="1" applyFont="1" applyFill="1" applyBorder="1"/>
    <xf numFmtId="1" fontId="8" fillId="9" borderId="51" xfId="0" applyNumberFormat="1" applyFont="1" applyFill="1" applyBorder="1"/>
    <xf numFmtId="1" fontId="8" fillId="9" borderId="53" xfId="0" applyNumberFormat="1" applyFont="1" applyFill="1" applyBorder="1"/>
    <xf numFmtId="1" fontId="8" fillId="9" borderId="14" xfId="0" applyNumberFormat="1" applyFont="1" applyFill="1" applyBorder="1"/>
    <xf numFmtId="1" fontId="3" fillId="5" borderId="53" xfId="0" applyNumberFormat="1" applyFont="1" applyFill="1" applyBorder="1"/>
    <xf numFmtId="1" fontId="9" fillId="5" borderId="53" xfId="0" applyNumberFormat="1" applyFont="1" applyFill="1" applyBorder="1"/>
    <xf numFmtId="1" fontId="9" fillId="5" borderId="51" xfId="0" applyNumberFormat="1" applyFont="1" applyFill="1" applyBorder="1"/>
    <xf numFmtId="1" fontId="9" fillId="6" borderId="51" xfId="0" applyNumberFormat="1" applyFont="1" applyFill="1" applyBorder="1"/>
    <xf numFmtId="164" fontId="3" fillId="5" borderId="51" xfId="0" applyNumberFormat="1" applyFont="1" applyFill="1" applyBorder="1"/>
    <xf numFmtId="164" fontId="3" fillId="0" borderId="35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" fontId="9" fillId="0" borderId="51" xfId="0" applyNumberFormat="1" applyFont="1" applyBorder="1"/>
    <xf numFmtId="1" fontId="3" fillId="0" borderId="52" xfId="0" applyNumberFormat="1" applyFont="1" applyBorder="1"/>
    <xf numFmtId="164" fontId="2" fillId="0" borderId="43" xfId="0" applyNumberFormat="1" applyFont="1" applyBorder="1"/>
    <xf numFmtId="164" fontId="3" fillId="6" borderId="43" xfId="0" applyNumberFormat="1" applyFont="1" applyFill="1" applyBorder="1"/>
    <xf numFmtId="1" fontId="2" fillId="7" borderId="43" xfId="0" applyNumberFormat="1" applyFont="1" applyFill="1" applyBorder="1"/>
    <xf numFmtId="164" fontId="3" fillId="0" borderId="13" xfId="0" applyNumberFormat="1" applyFont="1" applyBorder="1"/>
    <xf numFmtId="164" fontId="3" fillId="0" borderId="50" xfId="0" applyNumberFormat="1" applyFont="1" applyBorder="1"/>
    <xf numFmtId="1" fontId="3" fillId="10" borderId="53" xfId="0" applyNumberFormat="1" applyFont="1" applyFill="1" applyBorder="1"/>
    <xf numFmtId="1" fontId="3" fillId="0" borderId="53" xfId="0" applyNumberFormat="1" applyFont="1" applyBorder="1"/>
    <xf numFmtId="1" fontId="3" fillId="10" borderId="14" xfId="0" applyNumberFormat="1" applyFont="1" applyFill="1" applyBorder="1"/>
    <xf numFmtId="1" fontId="3" fillId="10" borderId="51" xfId="0" applyNumberFormat="1" applyFont="1" applyFill="1" applyBorder="1"/>
    <xf numFmtId="1" fontId="3" fillId="6" borderId="53" xfId="0" applyNumberFormat="1" applyFont="1" applyFill="1" applyBorder="1"/>
    <xf numFmtId="1" fontId="3" fillId="7" borderId="53" xfId="0" applyNumberFormat="1" applyFont="1" applyFill="1" applyBorder="1"/>
    <xf numFmtId="164" fontId="3" fillId="0" borderId="42" xfId="0" applyNumberFormat="1" applyFont="1" applyBorder="1"/>
    <xf numFmtId="1" fontId="3" fillId="0" borderId="9" xfId="0" applyNumberFormat="1" applyFont="1" applyBorder="1"/>
    <xf numFmtId="164" fontId="3" fillId="0" borderId="44" xfId="0" applyNumberFormat="1" applyFont="1" applyBorder="1"/>
    <xf numFmtId="0" fontId="3" fillId="2" borderId="5" xfId="0" applyFont="1" applyFill="1" applyBorder="1"/>
    <xf numFmtId="0" fontId="3" fillId="0" borderId="5" xfId="0" applyFont="1" applyBorder="1"/>
    <xf numFmtId="0" fontId="3" fillId="0" borderId="15" xfId="0" applyFont="1" applyBorder="1"/>
    <xf numFmtId="164" fontId="3" fillId="5" borderId="43" xfId="0" applyNumberFormat="1" applyFont="1" applyFill="1" applyBorder="1"/>
    <xf numFmtId="165" fontId="3" fillId="5" borderId="43" xfId="0" applyNumberFormat="1" applyFont="1" applyFill="1" applyBorder="1"/>
    <xf numFmtId="164" fontId="3" fillId="11" borderId="43" xfId="0" applyNumberFormat="1" applyFont="1" applyFill="1" applyBorder="1"/>
    <xf numFmtId="164" fontId="2" fillId="0" borderId="20" xfId="0" applyNumberFormat="1" applyFont="1" applyBorder="1"/>
    <xf numFmtId="164" fontId="3" fillId="0" borderId="54" xfId="0" applyNumberFormat="1" applyFont="1" applyBorder="1"/>
    <xf numFmtId="0" fontId="2" fillId="0" borderId="5" xfId="0" applyFont="1" applyBorder="1"/>
    <xf numFmtId="164" fontId="3" fillId="5" borderId="47" xfId="0" applyNumberFormat="1" applyFont="1" applyFill="1" applyBorder="1"/>
    <xf numFmtId="164" fontId="3" fillId="12" borderId="47" xfId="0" applyNumberFormat="1" applyFont="1" applyFill="1" applyBorder="1"/>
    <xf numFmtId="164" fontId="3" fillId="11" borderId="47" xfId="0" applyNumberFormat="1" applyFont="1" applyFill="1" applyBorder="1"/>
    <xf numFmtId="164" fontId="2" fillId="0" borderId="45" xfId="0" applyNumberFormat="1" applyFont="1" applyBorder="1"/>
    <xf numFmtId="164" fontId="3" fillId="0" borderId="10" xfId="0" applyNumberFormat="1" applyFont="1" applyBorder="1"/>
    <xf numFmtId="0" fontId="3" fillId="0" borderId="7" xfId="0" applyFont="1" applyBorder="1"/>
    <xf numFmtId="0" fontId="3" fillId="0" borderId="16" xfId="0" applyFont="1" applyBorder="1"/>
    <xf numFmtId="0" fontId="2" fillId="0" borderId="47" xfId="0" applyFont="1" applyBorder="1"/>
    <xf numFmtId="0" fontId="3" fillId="0" borderId="47" xfId="0" applyFont="1" applyBorder="1"/>
    <xf numFmtId="0" fontId="3" fillId="0" borderId="19" xfId="0" applyFont="1" applyBorder="1"/>
    <xf numFmtId="1" fontId="3" fillId="0" borderId="38" xfId="0" applyNumberFormat="1" applyFont="1" applyBorder="1"/>
    <xf numFmtId="0" fontId="9" fillId="0" borderId="49" xfId="0" applyFont="1" applyBorder="1"/>
    <xf numFmtId="0" fontId="3" fillId="0" borderId="49" xfId="0" applyFont="1" applyBorder="1"/>
    <xf numFmtId="0" fontId="3" fillId="0" borderId="21" xfId="0" applyFont="1" applyBorder="1"/>
    <xf numFmtId="164" fontId="9" fillId="0" borderId="49" xfId="0" applyNumberFormat="1" applyFont="1" applyBorder="1"/>
    <xf numFmtId="164" fontId="3" fillId="5" borderId="49" xfId="0" applyNumberFormat="1" applyFont="1" applyFill="1" applyBorder="1"/>
    <xf numFmtId="164" fontId="3" fillId="12" borderId="49" xfId="0" applyNumberFormat="1" applyFont="1" applyFill="1" applyBorder="1"/>
    <xf numFmtId="164" fontId="3" fillId="11" borderId="49" xfId="0" applyNumberFormat="1" applyFont="1" applyFill="1" applyBorder="1"/>
    <xf numFmtId="164" fontId="3" fillId="0" borderId="53" xfId="0" applyNumberFormat="1" applyFont="1" applyBorder="1"/>
    <xf numFmtId="164" fontId="3" fillId="0" borderId="14" xfId="0" applyNumberFormat="1" applyFont="1" applyBorder="1"/>
    <xf numFmtId="164" fontId="3" fillId="13" borderId="14" xfId="0" applyNumberFormat="1" applyFont="1" applyFill="1" applyBorder="1"/>
    <xf numFmtId="164" fontId="3" fillId="13" borderId="22" xfId="0" applyNumberFormat="1" applyFont="1" applyFill="1" applyBorder="1"/>
    <xf numFmtId="164" fontId="3" fillId="5" borderId="53" xfId="0" applyNumberFormat="1" applyFont="1" applyFill="1" applyBorder="1"/>
    <xf numFmtId="164" fontId="3" fillId="12" borderId="53" xfId="0" applyNumberFormat="1" applyFont="1" applyFill="1" applyBorder="1"/>
    <xf numFmtId="164" fontId="3" fillId="11" borderId="53" xfId="0" applyNumberFormat="1" applyFont="1" applyFill="1" applyBorder="1"/>
    <xf numFmtId="0" fontId="3" fillId="0" borderId="23" xfId="0" applyFont="1" applyBorder="1" applyAlignment="1">
      <alignment horizontal="center"/>
    </xf>
    <xf numFmtId="164" fontId="9" fillId="0" borderId="5" xfId="0" applyNumberFormat="1" applyFont="1" applyBorder="1"/>
    <xf numFmtId="0" fontId="3" fillId="0" borderId="5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3" fillId="0" borderId="52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16" fontId="2" fillId="0" borderId="15" xfId="0" applyNumberFormat="1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3" fillId="8" borderId="15" xfId="0" applyNumberFormat="1" applyFont="1" applyFill="1" applyBorder="1" applyAlignment="1">
      <alignment horizontal="center"/>
    </xf>
    <xf numFmtId="164" fontId="3" fillId="4" borderId="6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4" borderId="62" xfId="0" applyNumberFormat="1" applyFont="1" applyFill="1" applyBorder="1" applyAlignment="1">
      <alignment horizontal="center"/>
    </xf>
    <xf numFmtId="164" fontId="3" fillId="0" borderId="62" xfId="0" applyNumberFormat="1" applyFont="1" applyBorder="1" applyAlignment="1">
      <alignment horizontal="center"/>
    </xf>
    <xf numFmtId="164" fontId="3" fillId="10" borderId="44" xfId="0" applyNumberFormat="1" applyFont="1" applyFill="1" applyBorder="1" applyAlignment="1">
      <alignment horizontal="center"/>
    </xf>
    <xf numFmtId="164" fontId="3" fillId="10" borderId="42" xfId="0" applyNumberFormat="1" applyFont="1" applyFill="1" applyBorder="1" applyAlignment="1">
      <alignment horizontal="center"/>
    </xf>
    <xf numFmtId="164" fontId="3" fillId="6" borderId="42" xfId="0" applyNumberFormat="1" applyFont="1" applyFill="1" applyBorder="1" applyAlignment="1">
      <alignment horizontal="center"/>
    </xf>
    <xf numFmtId="1" fontId="2" fillId="0" borderId="7" xfId="0" applyNumberFormat="1" applyFont="1" applyBorder="1"/>
    <xf numFmtId="1" fontId="2" fillId="0" borderId="8" xfId="0" applyNumberFormat="1" applyFont="1" applyBorder="1"/>
    <xf numFmtId="1" fontId="2" fillId="0" borderId="15" xfId="0" applyNumberFormat="1" applyFont="1" applyBorder="1"/>
    <xf numFmtId="1" fontId="2" fillId="0" borderId="60" xfId="0" applyNumberFormat="1" applyFont="1" applyBorder="1"/>
    <xf numFmtId="1" fontId="2" fillId="0" borderId="6" xfId="0" applyNumberFormat="1" applyFont="1" applyBorder="1"/>
    <xf numFmtId="1" fontId="2" fillId="0" borderId="62" xfId="0" applyNumberFormat="1" applyFont="1" applyBorder="1"/>
    <xf numFmtId="1" fontId="2" fillId="0" borderId="44" xfId="0" applyNumberFormat="1" applyFont="1" applyBorder="1"/>
    <xf numFmtId="1" fontId="2" fillId="6" borderId="42" xfId="0" applyNumberFormat="1" applyFont="1" applyFill="1" applyBorder="1"/>
    <xf numFmtId="1" fontId="2" fillId="0" borderId="9" xfId="0" applyNumberFormat="1" applyFont="1" applyBorder="1"/>
    <xf numFmtId="1" fontId="2" fillId="0" borderId="64" xfId="0" applyNumberFormat="1" applyFont="1" applyBorder="1"/>
    <xf numFmtId="1" fontId="2" fillId="0" borderId="65" xfId="0" applyNumberFormat="1" applyFont="1" applyBorder="1"/>
    <xf numFmtId="1" fontId="2" fillId="0" borderId="61" xfId="0" applyNumberFormat="1" applyFont="1" applyBorder="1"/>
    <xf numFmtId="1" fontId="2" fillId="0" borderId="54" xfId="0" applyNumberFormat="1" applyFont="1" applyBorder="1"/>
    <xf numFmtId="1" fontId="2" fillId="0" borderId="21" xfId="0" applyNumberFormat="1" applyFont="1" applyBorder="1"/>
    <xf numFmtId="1" fontId="2" fillId="0" borderId="0" xfId="0" applyNumberFormat="1" applyFont="1" applyBorder="1"/>
    <xf numFmtId="1" fontId="2" fillId="0" borderId="20" xfId="0" applyNumberFormat="1" applyFont="1" applyBorder="1"/>
    <xf numFmtId="1" fontId="2" fillId="0" borderId="23" xfId="0" applyNumberFormat="1" applyFont="1" applyBorder="1"/>
    <xf numFmtId="1" fontId="2" fillId="0" borderId="52" xfId="0" applyNumberFormat="1" applyFont="1" applyBorder="1"/>
    <xf numFmtId="1" fontId="2" fillId="0" borderId="13" xfId="0" applyNumberFormat="1" applyFont="1" applyBorder="1"/>
    <xf numFmtId="1" fontId="2" fillId="0" borderId="59" xfId="0" applyNumberFormat="1" applyFont="1" applyBorder="1"/>
    <xf numFmtId="1" fontId="2" fillId="0" borderId="22" xfId="0" applyNumberFormat="1" applyFont="1" applyBorder="1"/>
    <xf numFmtId="1" fontId="2" fillId="0" borderId="14" xfId="0" applyNumberFormat="1" applyFont="1" applyBorder="1"/>
    <xf numFmtId="1" fontId="2" fillId="6" borderId="13" xfId="0" applyNumberFormat="1" applyFont="1" applyFill="1" applyBorder="1"/>
    <xf numFmtId="1" fontId="2" fillId="0" borderId="39" xfId="0" applyNumberFormat="1" applyFont="1" applyBorder="1"/>
    <xf numFmtId="1" fontId="3" fillId="5" borderId="23" xfId="0" applyNumberFormat="1" applyFont="1" applyFill="1" applyBorder="1"/>
    <xf numFmtId="1" fontId="3" fillId="5" borderId="59" xfId="0" applyNumberFormat="1" applyFont="1" applyFill="1" applyBorder="1"/>
    <xf numFmtId="1" fontId="3" fillId="5" borderId="52" xfId="0" applyNumberFormat="1" applyFont="1" applyFill="1" applyBorder="1"/>
    <xf numFmtId="1" fontId="3" fillId="5" borderId="22" xfId="0" applyNumberFormat="1" applyFont="1" applyFill="1" applyBorder="1"/>
    <xf numFmtId="1" fontId="3" fillId="5" borderId="14" xfId="0" applyNumberFormat="1" applyFont="1" applyFill="1" applyBorder="1"/>
    <xf numFmtId="1" fontId="3" fillId="6" borderId="13" xfId="0" applyNumberFormat="1" applyFont="1" applyFill="1" applyBorder="1"/>
    <xf numFmtId="1" fontId="3" fillId="14" borderId="7" xfId="0" applyNumberFormat="1" applyFont="1" applyFill="1" applyBorder="1"/>
    <xf numFmtId="1" fontId="10" fillId="0" borderId="8" xfId="0" applyNumberFormat="1" applyFont="1" applyBorder="1"/>
    <xf numFmtId="1" fontId="3" fillId="0" borderId="60" xfId="0" applyNumberFormat="1" applyFont="1" applyBorder="1"/>
    <xf numFmtId="1" fontId="10" fillId="0" borderId="6" xfId="0" applyNumberFormat="1" applyFont="1" applyBorder="1"/>
    <xf numFmtId="1" fontId="11" fillId="0" borderId="62" xfId="0" applyNumberFormat="1" applyFont="1" applyBorder="1"/>
    <xf numFmtId="1" fontId="3" fillId="10" borderId="23" xfId="0" applyNumberFormat="1" applyFont="1" applyFill="1" applyBorder="1"/>
    <xf numFmtId="1" fontId="3" fillId="3" borderId="22" xfId="0" applyNumberFormat="1" applyFont="1" applyFill="1" applyBorder="1"/>
    <xf numFmtId="1" fontId="3" fillId="10" borderId="22" xfId="0" applyNumberFormat="1" applyFont="1" applyFill="1" applyBorder="1"/>
    <xf numFmtId="164" fontId="3" fillId="5" borderId="5" xfId="0" applyNumberFormat="1" applyFont="1" applyFill="1" applyBorder="1"/>
    <xf numFmtId="164" fontId="3" fillId="5" borderId="6" xfId="0" applyNumberFormat="1" applyFont="1" applyFill="1" applyBorder="1"/>
    <xf numFmtId="164" fontId="3" fillId="5" borderId="60" xfId="0" applyNumberFormat="1" applyFont="1" applyFill="1" applyBorder="1"/>
    <xf numFmtId="164" fontId="3" fillId="5" borderId="9" xfId="0" applyNumberFormat="1" applyFont="1" applyFill="1" applyBorder="1"/>
    <xf numFmtId="164" fontId="3" fillId="5" borderId="62" xfId="0" applyNumberFormat="1" applyFont="1" applyFill="1" applyBorder="1"/>
    <xf numFmtId="164" fontId="3" fillId="5" borderId="44" xfId="0" applyNumberFormat="1" applyFont="1" applyFill="1" applyBorder="1"/>
    <xf numFmtId="164" fontId="3" fillId="5" borderId="42" xfId="0" applyNumberFormat="1" applyFont="1" applyFill="1" applyBorder="1"/>
    <xf numFmtId="164" fontId="3" fillId="5" borderId="7" xfId="0" applyNumberFormat="1" applyFont="1" applyFill="1" applyBorder="1"/>
    <xf numFmtId="164" fontId="3" fillId="5" borderId="8" xfId="0" applyNumberFormat="1" applyFont="1" applyFill="1" applyBorder="1"/>
    <xf numFmtId="164" fontId="3" fillId="5" borderId="63" xfId="0" applyNumberFormat="1" applyFont="1" applyFill="1" applyBorder="1"/>
    <xf numFmtId="164" fontId="3" fillId="5" borderId="10" xfId="0" applyNumberFormat="1" applyFont="1" applyFill="1" applyBorder="1"/>
    <xf numFmtId="164" fontId="3" fillId="5" borderId="19" xfId="0" applyNumberFormat="1" applyFont="1" applyFill="1" applyBorder="1"/>
    <xf numFmtId="164" fontId="3" fillId="5" borderId="46" xfId="0" applyNumberFormat="1" applyFont="1" applyFill="1" applyBorder="1"/>
    <xf numFmtId="164" fontId="3" fillId="5" borderId="45" xfId="0" applyNumberFormat="1" applyFont="1" applyFill="1" applyBorder="1"/>
    <xf numFmtId="164" fontId="3" fillId="5" borderId="55" xfId="0" applyNumberFormat="1" applyFont="1" applyFill="1" applyBorder="1"/>
    <xf numFmtId="164" fontId="3" fillId="5" borderId="34" xfId="0" applyNumberFormat="1" applyFont="1" applyFill="1" applyBorder="1"/>
    <xf numFmtId="164" fontId="3" fillId="5" borderId="0" xfId="0" applyNumberFormat="1" applyFont="1" applyFill="1" applyBorder="1"/>
    <xf numFmtId="164" fontId="3" fillId="5" borderId="61" xfId="0" applyNumberFormat="1" applyFont="1" applyFill="1" applyBorder="1"/>
    <xf numFmtId="164" fontId="3" fillId="5" borderId="54" xfId="0" applyNumberFormat="1" applyFont="1" applyFill="1" applyBorder="1"/>
    <xf numFmtId="164" fontId="3" fillId="5" borderId="21" xfId="0" applyNumberFormat="1" applyFont="1" applyFill="1" applyBorder="1"/>
    <xf numFmtId="164" fontId="3" fillId="5" borderId="20" xfId="0" applyNumberFormat="1" applyFont="1" applyFill="1" applyBorder="1"/>
    <xf numFmtId="164" fontId="3" fillId="5" borderId="22" xfId="0" applyNumberFormat="1" applyFont="1" applyFill="1" applyBorder="1"/>
    <xf numFmtId="164" fontId="3" fillId="5" borderId="23" xfId="0" applyNumberFormat="1" applyFont="1" applyFill="1" applyBorder="1"/>
    <xf numFmtId="164" fontId="3" fillId="5" borderId="59" xfId="0" applyNumberFormat="1" applyFont="1" applyFill="1" applyBorder="1"/>
    <xf numFmtId="164" fontId="3" fillId="5" borderId="50" xfId="0" applyNumberFormat="1" applyFont="1" applyFill="1" applyBorder="1"/>
    <xf numFmtId="164" fontId="3" fillId="5" borderId="14" xfId="0" applyNumberFormat="1" applyFont="1" applyFill="1" applyBorder="1"/>
    <xf numFmtId="164" fontId="3" fillId="5" borderId="13" xfId="0" applyNumberFormat="1" applyFont="1" applyFill="1" applyBorder="1"/>
    <xf numFmtId="0" fontId="3" fillId="0" borderId="60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/>
    </xf>
    <xf numFmtId="164" fontId="3" fillId="6" borderId="60" xfId="0" applyNumberFormat="1" applyFont="1" applyFill="1" applyBorder="1" applyAlignment="1">
      <alignment horizontal="center"/>
    </xf>
    <xf numFmtId="1" fontId="2" fillId="6" borderId="60" xfId="0" applyNumberFormat="1" applyFont="1" applyFill="1" applyBorder="1"/>
    <xf numFmtId="1" fontId="2" fillId="6" borderId="22" xfId="0" applyNumberFormat="1" applyFont="1" applyFill="1" applyBorder="1"/>
    <xf numFmtId="1" fontId="3" fillId="6" borderId="22" xfId="0" applyNumberFormat="1" applyFont="1" applyFill="1" applyBorder="1"/>
    <xf numFmtId="164" fontId="3" fillId="6" borderId="60" xfId="0" applyNumberFormat="1" applyFont="1" applyFill="1" applyBorder="1" applyAlignment="1">
      <alignment horizontal="right"/>
    </xf>
    <xf numFmtId="1" fontId="9" fillId="6" borderId="60" xfId="0" applyNumberFormat="1" applyFont="1" applyFill="1" applyBorder="1"/>
    <xf numFmtId="0" fontId="2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15" borderId="60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62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6" fontId="3" fillId="0" borderId="15" xfId="0" applyNumberFormat="1" applyFont="1" applyFill="1" applyBorder="1" applyAlignment="1">
      <alignment horizontal="center"/>
    </xf>
    <xf numFmtId="164" fontId="3" fillId="15" borderId="63" xfId="0" applyNumberFormat="1" applyFont="1" applyFill="1" applyBorder="1" applyAlignment="1">
      <alignment horizontal="center"/>
    </xf>
    <xf numFmtId="164" fontId="3" fillId="0" borderId="60" xfId="0" applyNumberFormat="1" applyFont="1" applyFill="1" applyBorder="1" applyAlignment="1">
      <alignment horizontal="center"/>
    </xf>
    <xf numFmtId="164" fontId="7" fillId="0" borderId="60" xfId="0" applyNumberFormat="1" applyFont="1" applyFill="1" applyBorder="1" applyAlignment="1">
      <alignment horizontal="center"/>
    </xf>
    <xf numFmtId="164" fontId="3" fillId="0" borderId="44" xfId="0" applyNumberFormat="1" applyFont="1" applyFill="1" applyBorder="1" applyAlignment="1">
      <alignment horizontal="center"/>
    </xf>
    <xf numFmtId="1" fontId="2" fillId="0" borderId="9" xfId="0" applyNumberFormat="1" applyFont="1" applyFill="1" applyBorder="1"/>
    <xf numFmtId="1" fontId="2" fillId="0" borderId="62" xfId="0" applyNumberFormat="1" applyFont="1" applyFill="1" applyBorder="1"/>
    <xf numFmtId="1" fontId="2" fillId="0" borderId="5" xfId="0" applyNumberFormat="1" applyFont="1" applyFill="1" applyBorder="1"/>
    <xf numFmtId="1" fontId="2" fillId="0" borderId="15" xfId="0" applyNumberFormat="1" applyFont="1" applyFill="1" applyBorder="1"/>
    <xf numFmtId="1" fontId="2" fillId="15" borderId="60" xfId="0" applyNumberFormat="1" applyFont="1" applyFill="1" applyBorder="1"/>
    <xf numFmtId="1" fontId="2" fillId="0" borderId="60" xfId="0" applyNumberFormat="1" applyFont="1" applyFill="1" applyBorder="1"/>
    <xf numFmtId="1" fontId="2" fillId="0" borderId="54" xfId="0" applyNumberFormat="1" applyFont="1" applyFill="1" applyBorder="1"/>
    <xf numFmtId="0" fontId="3" fillId="0" borderId="50" xfId="0" applyFont="1" applyFill="1" applyBorder="1"/>
    <xf numFmtId="1" fontId="2" fillId="0" borderId="52" xfId="0" applyNumberFormat="1" applyFont="1" applyFill="1" applyBorder="1"/>
    <xf numFmtId="0" fontId="3" fillId="15" borderId="22" xfId="0" applyFont="1" applyFill="1" applyBorder="1"/>
    <xf numFmtId="1" fontId="2" fillId="0" borderId="22" xfId="0" applyNumberFormat="1" applyFont="1" applyFill="1" applyBorder="1"/>
    <xf numFmtId="0" fontId="3" fillId="0" borderId="52" xfId="0" applyFont="1" applyFill="1" applyBorder="1"/>
    <xf numFmtId="1" fontId="2" fillId="15" borderId="22" xfId="0" applyNumberFormat="1" applyFont="1" applyFill="1" applyBorder="1"/>
    <xf numFmtId="1" fontId="3" fillId="0" borderId="22" xfId="0" applyNumberFormat="1" applyFont="1" applyFill="1" applyBorder="1"/>
    <xf numFmtId="1" fontId="3" fillId="0" borderId="52" xfId="0" applyNumberFormat="1" applyFont="1" applyFill="1" applyBorder="1"/>
    <xf numFmtId="1" fontId="3" fillId="15" borderId="22" xfId="0" applyNumberFormat="1" applyFont="1" applyFill="1" applyBorder="1"/>
    <xf numFmtId="1" fontId="3" fillId="0" borderId="23" xfId="0" applyNumberFormat="1" applyFont="1" applyFill="1" applyBorder="1"/>
    <xf numFmtId="1" fontId="3" fillId="0" borderId="13" xfId="0" applyNumberFormat="1" applyFont="1" applyFill="1" applyBorder="1"/>
    <xf numFmtId="1" fontId="3" fillId="0" borderId="14" xfId="0" applyNumberFormat="1" applyFont="1" applyFill="1" applyBorder="1"/>
    <xf numFmtId="1" fontId="2" fillId="0" borderId="14" xfId="0" applyNumberFormat="1" applyFont="1" applyFill="1" applyBorder="1"/>
    <xf numFmtId="0" fontId="3" fillId="0" borderId="53" xfId="0" applyFont="1" applyFill="1" applyBorder="1"/>
    <xf numFmtId="0" fontId="6" fillId="0" borderId="50" xfId="0" applyFont="1" applyFill="1" applyBorder="1"/>
    <xf numFmtId="1" fontId="7" fillId="0" borderId="52" xfId="1" applyNumberFormat="1" applyFont="1" applyFill="1" applyBorder="1"/>
    <xf numFmtId="1" fontId="7" fillId="0" borderId="50" xfId="1" applyNumberFormat="1" applyFont="1" applyFill="1" applyBorder="1"/>
    <xf numFmtId="1" fontId="17" fillId="0" borderId="50" xfId="1" applyNumberFormat="1" applyFont="1" applyFill="1" applyBorder="1"/>
    <xf numFmtId="1" fontId="17" fillId="0" borderId="52" xfId="1" applyNumberFormat="1" applyFont="1" applyFill="1" applyBorder="1"/>
    <xf numFmtId="0" fontId="2" fillId="0" borderId="37" xfId="0" applyFont="1" applyFill="1" applyBorder="1" applyAlignment="1">
      <alignment horizontal="center" vertical="center" wrapText="1"/>
    </xf>
    <xf numFmtId="1" fontId="2" fillId="0" borderId="43" xfId="0" applyNumberFormat="1" applyFont="1" applyFill="1" applyBorder="1"/>
    <xf numFmtId="1" fontId="2" fillId="0" borderId="49" xfId="0" applyNumberFormat="1" applyFont="1" applyFill="1" applyBorder="1"/>
    <xf numFmtId="0" fontId="15" fillId="0" borderId="67" xfId="1" applyFont="1" applyFill="1" applyBorder="1" applyAlignment="1">
      <alignment horizontal="center" vertical="center" wrapText="1"/>
    </xf>
    <xf numFmtId="0" fontId="6" fillId="0" borderId="68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/>
    </xf>
    <xf numFmtId="0" fontId="16" fillId="0" borderId="16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/>
    </xf>
    <xf numFmtId="0" fontId="17" fillId="0" borderId="16" xfId="1" applyFont="1" applyFill="1" applyBorder="1" applyAlignment="1">
      <alignment horizontal="center"/>
    </xf>
    <xf numFmtId="0" fontId="6" fillId="0" borderId="10" xfId="0" applyFont="1" applyFill="1" applyBorder="1"/>
    <xf numFmtId="9" fontId="6" fillId="0" borderId="16" xfId="1" applyNumberFormat="1" applyFont="1" applyFill="1" applyBorder="1"/>
    <xf numFmtId="0" fontId="6" fillId="0" borderId="11" xfId="0" applyFont="1" applyFill="1" applyBorder="1"/>
    <xf numFmtId="9" fontId="6" fillId="0" borderId="12" xfId="1" applyNumberFormat="1" applyFont="1" applyFill="1" applyBorder="1"/>
    <xf numFmtId="0" fontId="6" fillId="0" borderId="9" xfId="0" applyFont="1" applyFill="1" applyBorder="1"/>
    <xf numFmtId="9" fontId="6" fillId="0" borderId="15" xfId="1" applyNumberFormat="1" applyFont="1" applyFill="1" applyBorder="1"/>
    <xf numFmtId="1" fontId="6" fillId="0" borderId="11" xfId="1" applyNumberFormat="1" applyFont="1" applyFill="1" applyBorder="1"/>
    <xf numFmtId="1" fontId="7" fillId="0" borderId="54" xfId="1" applyNumberFormat="1" applyFont="1" applyFill="1" applyBorder="1"/>
    <xf numFmtId="1" fontId="7" fillId="0" borderId="69" xfId="1" applyNumberFormat="1" applyFont="1" applyFill="1" applyBorder="1"/>
    <xf numFmtId="0" fontId="0" fillId="0" borderId="7" xfId="0" applyBorder="1"/>
    <xf numFmtId="0" fontId="0" fillId="0" borderId="63" xfId="0" applyBorder="1"/>
    <xf numFmtId="164" fontId="2" fillId="6" borderId="42" xfId="0" applyNumberFormat="1" applyFont="1" applyFill="1" applyBorder="1"/>
    <xf numFmtId="0" fontId="0" fillId="0" borderId="13" xfId="0" applyBorder="1"/>
    <xf numFmtId="0" fontId="0" fillId="0" borderId="0" xfId="0" applyAlignment="1">
      <alignment wrapText="1"/>
    </xf>
    <xf numFmtId="0" fontId="0" fillId="0" borderId="23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64" fontId="3" fillId="0" borderId="7" xfId="0" applyNumberFormat="1" applyFont="1" applyBorder="1"/>
    <xf numFmtId="164" fontId="3" fillId="0" borderId="63" xfId="0" applyNumberFormat="1" applyFont="1" applyBorder="1"/>
    <xf numFmtId="164" fontId="3" fillId="0" borderId="47" xfId="0" applyNumberFormat="1" applyFont="1" applyBorder="1"/>
    <xf numFmtId="1" fontId="14" fillId="0" borderId="7" xfId="0" applyNumberFormat="1" applyFont="1" applyFill="1" applyBorder="1"/>
    <xf numFmtId="1" fontId="9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63" xfId="0" applyNumberFormat="1" applyFont="1" applyFill="1" applyBorder="1"/>
    <xf numFmtId="1" fontId="2" fillId="0" borderId="16" xfId="0" applyNumberFormat="1" applyFont="1" applyBorder="1"/>
    <xf numFmtId="1" fontId="3" fillId="0" borderId="7" xfId="0" applyNumberFormat="1" applyFont="1" applyBorder="1"/>
    <xf numFmtId="1" fontId="2" fillId="6" borderId="63" xfId="0" applyNumberFormat="1" applyFont="1" applyFill="1" applyBorder="1"/>
    <xf numFmtId="1" fontId="3" fillId="8" borderId="10" xfId="0" applyNumberFormat="1" applyFont="1" applyFill="1" applyBorder="1"/>
    <xf numFmtId="0" fontId="0" fillId="0" borderId="16" xfId="0" applyBorder="1"/>
    <xf numFmtId="1" fontId="14" fillId="0" borderId="55" xfId="0" applyNumberFormat="1" applyFont="1" applyFill="1" applyBorder="1"/>
    <xf numFmtId="1" fontId="3" fillId="0" borderId="34" xfId="0" applyNumberFormat="1" applyFont="1" applyFill="1" applyBorder="1"/>
    <xf numFmtId="164" fontId="3" fillId="0" borderId="76" xfId="0" applyNumberFormat="1" applyFont="1" applyBorder="1"/>
    <xf numFmtId="164" fontId="3" fillId="0" borderId="75" xfId="0" applyNumberFormat="1" applyFont="1" applyBorder="1"/>
    <xf numFmtId="1" fontId="3" fillId="0" borderId="72" xfId="0" applyNumberFormat="1" applyFont="1" applyFill="1" applyBorder="1"/>
    <xf numFmtId="0" fontId="3" fillId="8" borderId="50" xfId="0" applyFont="1" applyFill="1" applyBorder="1" applyAlignment="1">
      <alignment horizontal="left"/>
    </xf>
    <xf numFmtId="0" fontId="3" fillId="8" borderId="51" xfId="0" applyFont="1" applyFill="1" applyBorder="1" applyAlignment="1">
      <alignment horizontal="center"/>
    </xf>
    <xf numFmtId="164" fontId="3" fillId="8" borderId="51" xfId="0" applyNumberFormat="1" applyFont="1" applyFill="1" applyBorder="1"/>
    <xf numFmtId="164" fontId="3" fillId="8" borderId="22" xfId="0" applyNumberFormat="1" applyFont="1" applyFill="1" applyBorder="1"/>
    <xf numFmtId="1" fontId="3" fillId="8" borderId="22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164" fontId="3" fillId="0" borderId="49" xfId="0" applyNumberFormat="1" applyFont="1" applyBorder="1"/>
    <xf numFmtId="1" fontId="19" fillId="0" borderId="76" xfId="0" applyNumberFormat="1" applyFont="1" applyFill="1" applyBorder="1" applyAlignment="1">
      <alignment horizontal="center" vertical="center" wrapText="1"/>
    </xf>
    <xf numFmtId="1" fontId="18" fillId="0" borderId="76" xfId="0" applyNumberFormat="1" applyFont="1" applyFill="1" applyBorder="1" applyAlignment="1">
      <alignment horizontal="center" vertical="center" wrapText="1"/>
    </xf>
    <xf numFmtId="1" fontId="20" fillId="0" borderId="76" xfId="0" applyNumberFormat="1" applyFont="1" applyFill="1" applyBorder="1" applyAlignment="1">
      <alignment horizontal="center" vertical="center" wrapText="1"/>
    </xf>
    <xf numFmtId="1" fontId="3" fillId="0" borderId="76" xfId="0" applyNumberFormat="1" applyFont="1" applyFill="1" applyBorder="1" applyAlignment="1">
      <alignment horizontal="center" vertical="center" wrapText="1"/>
    </xf>
    <xf numFmtId="164" fontId="20" fillId="6" borderId="60" xfId="0" applyNumberFormat="1" applyFont="1" applyFill="1" applyBorder="1"/>
    <xf numFmtId="1" fontId="18" fillId="6" borderId="43" xfId="0" applyNumberFormat="1" applyFont="1" applyFill="1" applyBorder="1"/>
    <xf numFmtId="1" fontId="14" fillId="6" borderId="5" xfId="0" applyNumberFormat="1" applyFont="1" applyFill="1" applyBorder="1"/>
    <xf numFmtId="1" fontId="3" fillId="6" borderId="5" xfId="0" applyNumberFormat="1" applyFont="1" applyFill="1" applyBorder="1" applyAlignment="1">
      <alignment wrapText="1"/>
    </xf>
    <xf numFmtId="1" fontId="3" fillId="6" borderId="5" xfId="0" applyNumberFormat="1" applyFont="1" applyFill="1" applyBorder="1"/>
    <xf numFmtId="1" fontId="3" fillId="0" borderId="60" xfId="0" applyNumberFormat="1" applyFont="1" applyFill="1" applyBorder="1"/>
    <xf numFmtId="1" fontId="3" fillId="0" borderId="43" xfId="0" applyNumberFormat="1" applyFont="1" applyFill="1" applyBorder="1"/>
    <xf numFmtId="1" fontId="14" fillId="0" borderId="43" xfId="0" applyNumberFormat="1" applyFont="1" applyFill="1" applyBorder="1"/>
    <xf numFmtId="1" fontId="14" fillId="0" borderId="5" xfId="0" applyNumberFormat="1" applyFont="1" applyFill="1" applyBorder="1"/>
    <xf numFmtId="1" fontId="3" fillId="0" borderId="5" xfId="0" applyNumberFormat="1" applyFont="1" applyBorder="1"/>
    <xf numFmtId="1" fontId="14" fillId="6" borderId="63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/>
    <xf numFmtId="164" fontId="3" fillId="0" borderId="49" xfId="0" applyNumberFormat="1" applyFont="1" applyFill="1" applyBorder="1"/>
    <xf numFmtId="1" fontId="3" fillId="0" borderId="21" xfId="0" applyNumberFormat="1" applyFont="1" applyFill="1" applyBorder="1"/>
    <xf numFmtId="1" fontId="3" fillId="0" borderId="0" xfId="0" applyNumberFormat="1" applyFont="1" applyFill="1" applyBorder="1"/>
    <xf numFmtId="0" fontId="0" fillId="0" borderId="0" xfId="0" applyFill="1" applyBorder="1"/>
    <xf numFmtId="0" fontId="3" fillId="0" borderId="7" xfId="0" applyFont="1" applyFill="1" applyBorder="1" applyAlignment="1">
      <alignment horizontal="left"/>
    </xf>
    <xf numFmtId="0" fontId="3" fillId="0" borderId="76" xfId="0" applyFont="1" applyFill="1" applyBorder="1" applyAlignment="1">
      <alignment horizontal="center"/>
    </xf>
    <xf numFmtId="0" fontId="22" fillId="6" borderId="63" xfId="0" applyFont="1" applyFill="1" applyBorder="1"/>
    <xf numFmtId="164" fontId="22" fillId="6" borderId="63" xfId="0" applyNumberFormat="1" applyFont="1" applyFill="1" applyBorder="1"/>
    <xf numFmtId="164" fontId="3" fillId="0" borderId="70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wrapText="1"/>
    </xf>
    <xf numFmtId="1" fontId="3" fillId="0" borderId="6" xfId="0" applyNumberFormat="1" applyFont="1" applyFill="1" applyBorder="1"/>
    <xf numFmtId="164" fontId="3" fillId="8" borderId="13" xfId="0" applyNumberFormat="1" applyFont="1" applyFill="1" applyBorder="1"/>
    <xf numFmtId="1" fontId="14" fillId="0" borderId="47" xfId="0" applyNumberFormat="1" applyFont="1" applyFill="1" applyBorder="1"/>
    <xf numFmtId="164" fontId="3" fillId="8" borderId="14" xfId="0" applyNumberFormat="1" applyFont="1" applyFill="1" applyBorder="1"/>
    <xf numFmtId="1" fontId="14" fillId="0" borderId="9" xfId="0" applyNumberFormat="1" applyFont="1" applyFill="1" applyBorder="1"/>
    <xf numFmtId="1" fontId="14" fillId="0" borderId="15" xfId="0" applyNumberFormat="1" applyFont="1" applyFill="1" applyBorder="1"/>
    <xf numFmtId="1" fontId="3" fillId="0" borderId="10" xfId="0" applyNumberFormat="1" applyFont="1" applyFill="1" applyBorder="1"/>
    <xf numFmtId="1" fontId="14" fillId="0" borderId="16" xfId="0" applyNumberFormat="1" applyFont="1" applyFill="1" applyBorder="1"/>
    <xf numFmtId="164" fontId="3" fillId="8" borderId="50" xfId="0" applyNumberFormat="1" applyFont="1" applyFill="1" applyBorder="1"/>
    <xf numFmtId="1" fontId="3" fillId="8" borderId="50" xfId="0" applyNumberFormat="1" applyFont="1" applyFill="1" applyBorder="1"/>
    <xf numFmtId="0" fontId="3" fillId="6" borderId="7" xfId="0" applyFont="1" applyFill="1" applyBorder="1" applyAlignment="1">
      <alignment horizontal="center"/>
    </xf>
    <xf numFmtId="0" fontId="0" fillId="0" borderId="67" xfId="0" applyFill="1" applyBorder="1"/>
    <xf numFmtId="164" fontId="3" fillId="0" borderId="68" xfId="0" applyNumberFormat="1" applyFont="1" applyBorder="1"/>
    <xf numFmtId="0" fontId="18" fillId="6" borderId="10" xfId="0" applyFont="1" applyFill="1" applyBorder="1"/>
    <xf numFmtId="164" fontId="3" fillId="0" borderId="15" xfId="0" applyNumberFormat="1" applyFont="1" applyBorder="1"/>
    <xf numFmtId="0" fontId="0" fillId="0" borderId="10" xfId="0" applyFill="1" applyBorder="1"/>
    <xf numFmtId="164" fontId="3" fillId="0" borderId="16" xfId="0" applyNumberFormat="1" applyFont="1" applyBorder="1"/>
    <xf numFmtId="164" fontId="3" fillId="8" borderId="52" xfId="0" applyNumberFormat="1" applyFont="1" applyFill="1" applyBorder="1"/>
    <xf numFmtId="1" fontId="3" fillId="0" borderId="70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1" fontId="20" fillId="0" borderId="67" xfId="0" applyNumberFormat="1" applyFont="1" applyFill="1" applyBorder="1" applyAlignment="1">
      <alignment horizontal="center" vertical="center" wrapText="1"/>
    </xf>
    <xf numFmtId="1" fontId="20" fillId="0" borderId="68" xfId="0" applyNumberFormat="1" applyFont="1" applyFill="1" applyBorder="1" applyAlignment="1">
      <alignment horizontal="center" vertical="center" wrapText="1"/>
    </xf>
    <xf numFmtId="2" fontId="18" fillId="0" borderId="28" xfId="0" applyNumberFormat="1" applyFont="1" applyFill="1" applyBorder="1" applyAlignment="1">
      <alignment horizontal="center" vertical="center" wrapText="1"/>
    </xf>
    <xf numFmtId="1" fontId="3" fillId="6" borderId="6" xfId="0" applyNumberFormat="1" applyFont="1" applyFill="1" applyBorder="1"/>
    <xf numFmtId="2" fontId="3" fillId="0" borderId="8" xfId="0" applyNumberFormat="1" applyFont="1" applyFill="1" applyBorder="1"/>
    <xf numFmtId="2" fontId="18" fillId="0" borderId="70" xfId="0" applyNumberFormat="1" applyFont="1" applyBorder="1" applyAlignment="1">
      <alignment horizontal="center" vertical="center" wrapText="1"/>
    </xf>
    <xf numFmtId="1" fontId="18" fillId="6" borderId="60" xfId="0" applyNumberFormat="1" applyFont="1" applyFill="1" applyBorder="1"/>
    <xf numFmtId="2" fontId="3" fillId="0" borderId="63" xfId="0" applyNumberFormat="1" applyFont="1" applyBorder="1"/>
    <xf numFmtId="164" fontId="3" fillId="5" borderId="15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wrapText="1"/>
    </xf>
    <xf numFmtId="0" fontId="3" fillId="0" borderId="54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164" fontId="3" fillId="0" borderId="55" xfId="0" applyNumberFormat="1" applyFont="1" applyBorder="1"/>
    <xf numFmtId="164" fontId="3" fillId="0" borderId="69" xfId="0" applyNumberFormat="1" applyFont="1" applyBorder="1"/>
    <xf numFmtId="164" fontId="3" fillId="0" borderId="34" xfId="0" applyNumberFormat="1" applyFont="1" applyBorder="1"/>
    <xf numFmtId="1" fontId="3" fillId="0" borderId="55" xfId="0" applyNumberFormat="1" applyFont="1" applyFill="1" applyBorder="1"/>
    <xf numFmtId="1" fontId="9" fillId="0" borderId="55" xfId="0" applyNumberFormat="1" applyFont="1" applyFill="1" applyBorder="1"/>
    <xf numFmtId="2" fontId="3" fillId="0" borderId="61" xfId="0" applyNumberFormat="1" applyFont="1" applyFill="1" applyBorder="1"/>
    <xf numFmtId="2" fontId="3" fillId="0" borderId="34" xfId="0" applyNumberFormat="1" applyFont="1" applyBorder="1"/>
    <xf numFmtId="1" fontId="14" fillId="0" borderId="54" xfId="0" applyNumberFormat="1" applyFont="1" applyFill="1" applyBorder="1"/>
    <xf numFmtId="1" fontId="14" fillId="0" borderId="49" xfId="0" applyNumberFormat="1" applyFont="1" applyFill="1" applyBorder="1"/>
    <xf numFmtId="1" fontId="14" fillId="0" borderId="69" xfId="0" applyNumberFormat="1" applyFont="1" applyFill="1" applyBorder="1"/>
    <xf numFmtId="1" fontId="3" fillId="0" borderId="55" xfId="0" applyNumberFormat="1" applyFont="1" applyBorder="1"/>
    <xf numFmtId="0" fontId="3" fillId="0" borderId="54" xfId="0" applyFont="1" applyFill="1" applyBorder="1" applyAlignment="1">
      <alignment horizontal="left"/>
    </xf>
    <xf numFmtId="1" fontId="9" fillId="0" borderId="34" xfId="0" applyNumberFormat="1" applyFont="1" applyBorder="1"/>
    <xf numFmtId="1" fontId="14" fillId="0" borderId="61" xfId="0" applyNumberFormat="1" applyFont="1" applyFill="1" applyBorder="1"/>
    <xf numFmtId="0" fontId="3" fillId="0" borderId="5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164" fontId="3" fillId="0" borderId="51" xfId="0" applyNumberFormat="1" applyFont="1" applyBorder="1"/>
    <xf numFmtId="164" fontId="3" fillId="0" borderId="52" xfId="0" applyNumberFormat="1" applyFont="1" applyBorder="1"/>
    <xf numFmtId="164" fontId="3" fillId="0" borderId="22" xfId="0" applyNumberFormat="1" applyFont="1" applyBorder="1"/>
    <xf numFmtId="164" fontId="3" fillId="0" borderId="22" xfId="0" applyNumberFormat="1" applyFont="1" applyFill="1" applyBorder="1"/>
    <xf numFmtId="2" fontId="3" fillId="0" borderId="22" xfId="0" applyNumberFormat="1" applyFont="1" applyBorder="1"/>
    <xf numFmtId="1" fontId="3" fillId="0" borderId="22" xfId="0" applyNumberFormat="1" applyFont="1" applyBorder="1"/>
    <xf numFmtId="1" fontId="3" fillId="3" borderId="50" xfId="0" applyNumberFormat="1" applyFont="1" applyFill="1" applyBorder="1"/>
    <xf numFmtId="1" fontId="3" fillId="0" borderId="8" xfId="0" applyNumberFormat="1" applyFont="1" applyBorder="1"/>
    <xf numFmtId="1" fontId="3" fillId="0" borderId="61" xfId="0" applyNumberFormat="1" applyFont="1" applyBorder="1"/>
    <xf numFmtId="1" fontId="3" fillId="0" borderId="23" xfId="0" applyNumberFormat="1" applyFont="1" applyBorder="1"/>
    <xf numFmtId="1" fontId="3" fillId="8" borderId="13" xfId="0" applyNumberFormat="1" applyFont="1" applyFill="1" applyBorder="1"/>
    <xf numFmtId="1" fontId="14" fillId="0" borderId="27" xfId="0" applyNumberFormat="1" applyFont="1" applyFill="1" applyBorder="1" applyAlignment="1">
      <alignment horizontal="center" vertical="center" wrapText="1"/>
    </xf>
    <xf numFmtId="1" fontId="3" fillId="0" borderId="76" xfId="0" applyNumberFormat="1" applyFont="1" applyBorder="1" applyAlignment="1">
      <alignment horizontal="center" vertical="center" wrapText="1"/>
    </xf>
    <xf numFmtId="1" fontId="18" fillId="0" borderId="49" xfId="0" applyNumberFormat="1" applyFont="1" applyFill="1" applyBorder="1"/>
    <xf numFmtId="1" fontId="3" fillId="8" borderId="14" xfId="0" applyNumberFormat="1" applyFont="1" applyFill="1" applyBorder="1"/>
    <xf numFmtId="1" fontId="14" fillId="14" borderId="54" xfId="0" applyNumberFormat="1" applyFont="1" applyFill="1" applyBorder="1"/>
    <xf numFmtId="0" fontId="2" fillId="0" borderId="47" xfId="0" applyFont="1" applyBorder="1" applyAlignment="1">
      <alignment horizontal="center"/>
    </xf>
    <xf numFmtId="164" fontId="3" fillId="0" borderId="43" xfId="0" applyNumberFormat="1" applyFont="1" applyBorder="1" applyAlignment="1">
      <alignment horizontal="center"/>
    </xf>
    <xf numFmtId="0" fontId="2" fillId="0" borderId="43" xfId="0" applyFont="1" applyBorder="1"/>
    <xf numFmtId="1" fontId="11" fillId="0" borderId="43" xfId="0" applyNumberFormat="1" applyFont="1" applyBorder="1"/>
    <xf numFmtId="1" fontId="3" fillId="10" borderId="50" xfId="0" applyNumberFormat="1" applyFont="1" applyFill="1" applyBorder="1"/>
    <xf numFmtId="1" fontId="3" fillId="0" borderId="28" xfId="0" applyNumberFormat="1" applyFont="1" applyFill="1" applyBorder="1"/>
    <xf numFmtId="1" fontId="3" fillId="0" borderId="9" xfId="0" applyNumberFormat="1" applyFont="1" applyFill="1" applyBorder="1"/>
    <xf numFmtId="1" fontId="3" fillId="0" borderId="8" xfId="0" applyNumberFormat="1" applyFont="1" applyFill="1" applyBorder="1"/>
    <xf numFmtId="1" fontId="3" fillId="0" borderId="61" xfId="0" applyNumberFormat="1" applyFont="1" applyFill="1" applyBorder="1"/>
    <xf numFmtId="1" fontId="3" fillId="0" borderId="54" xfId="0" applyNumberFormat="1" applyFont="1" applyFill="1" applyBorder="1"/>
    <xf numFmtId="1" fontId="3" fillId="0" borderId="50" xfId="0" applyNumberFormat="1" applyFont="1" applyFill="1" applyBorder="1"/>
    <xf numFmtId="164" fontId="3" fillId="0" borderId="50" xfId="0" applyNumberFormat="1" applyFont="1" applyFill="1" applyBorder="1"/>
    <xf numFmtId="164" fontId="3" fillId="0" borderId="14" xfId="0" applyNumberFormat="1" applyFont="1" applyFill="1" applyBorder="1"/>
    <xf numFmtId="164" fontId="3" fillId="0" borderId="22" xfId="0" applyNumberFormat="1" applyFont="1" applyFill="1" applyBorder="1" applyAlignment="1"/>
    <xf numFmtId="0" fontId="3" fillId="0" borderId="67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1" fontId="3" fillId="0" borderId="62" xfId="0" applyNumberFormat="1" applyFont="1" applyFill="1" applyBorder="1"/>
    <xf numFmtId="1" fontId="3" fillId="0" borderId="19" xfId="0" applyNumberFormat="1" applyFont="1" applyFill="1" applyBorder="1"/>
    <xf numFmtId="1" fontId="2" fillId="0" borderId="10" xfId="0" applyNumberFormat="1" applyFont="1" applyFill="1" applyBorder="1"/>
    <xf numFmtId="1" fontId="2" fillId="0" borderId="19" xfId="0" applyNumberFormat="1" applyFont="1" applyFill="1" applyBorder="1"/>
    <xf numFmtId="1" fontId="3" fillId="6" borderId="9" xfId="0" applyNumberFormat="1" applyFont="1" applyFill="1" applyBorder="1"/>
    <xf numFmtId="1" fontId="3" fillId="6" borderId="62" xfId="0" applyNumberFormat="1" applyFont="1" applyFill="1" applyBorder="1"/>
    <xf numFmtId="0" fontId="23" fillId="0" borderId="8" xfId="0" applyFont="1" applyBorder="1" applyAlignment="1">
      <alignment horizontal="center" vertical="center" wrapText="1"/>
    </xf>
    <xf numFmtId="0" fontId="3" fillId="0" borderId="50" xfId="0" applyFont="1" applyBorder="1"/>
    <xf numFmtId="9" fontId="3" fillId="0" borderId="9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6" xfId="0" applyFont="1" applyBorder="1"/>
    <xf numFmtId="0" fontId="12" fillId="0" borderId="46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12" fillId="8" borderId="16" xfId="0" applyFont="1" applyFill="1" applyBorder="1"/>
    <xf numFmtId="164" fontId="3" fillId="4" borderId="44" xfId="0" applyNumberFormat="1" applyFont="1" applyFill="1" applyBorder="1" applyAlignment="1">
      <alignment horizontal="center"/>
    </xf>
    <xf numFmtId="164" fontId="3" fillId="4" borderId="63" xfId="0" applyNumberFormat="1" applyFont="1" applyFill="1" applyBorder="1" applyAlignment="1">
      <alignment horizontal="center"/>
    </xf>
    <xf numFmtId="1" fontId="2" fillId="0" borderId="63" xfId="0" applyNumberFormat="1" applyFont="1" applyBorder="1"/>
    <xf numFmtId="1" fontId="3" fillId="0" borderId="62" xfId="0" applyNumberFormat="1" applyFont="1" applyBorder="1"/>
    <xf numFmtId="1" fontId="3" fillId="0" borderId="14" xfId="0" applyNumberFormat="1" applyFont="1" applyBorder="1"/>
    <xf numFmtId="1" fontId="3" fillId="5" borderId="13" xfId="0" applyNumberFormat="1" applyFont="1" applyFill="1" applyBorder="1"/>
    <xf numFmtId="1" fontId="9" fillId="0" borderId="10" xfId="0" applyNumberFormat="1" applyFont="1" applyBorder="1"/>
    <xf numFmtId="1" fontId="3" fillId="0" borderId="63" xfId="0" applyNumberFormat="1" applyFont="1" applyBorder="1"/>
    <xf numFmtId="1" fontId="3" fillId="5" borderId="10" xfId="0" applyNumberFormat="1" applyFont="1" applyFill="1" applyBorder="1"/>
    <xf numFmtId="1" fontId="3" fillId="5" borderId="37" xfId="0" applyNumberFormat="1" applyFont="1" applyFill="1" applyBorder="1"/>
    <xf numFmtId="0" fontId="2" fillId="6" borderId="42" xfId="0" applyFont="1" applyFill="1" applyBorder="1" applyAlignment="1">
      <alignment horizontal="center" vertical="center"/>
    </xf>
    <xf numFmtId="0" fontId="22" fillId="6" borderId="60" xfId="0" applyFont="1" applyFill="1" applyBorder="1" applyAlignment="1">
      <alignment horizontal="center" vertical="center"/>
    </xf>
    <xf numFmtId="0" fontId="1" fillId="0" borderId="0" xfId="0" applyFont="1"/>
    <xf numFmtId="0" fontId="13" fillId="0" borderId="1" xfId="0" applyFont="1" applyBorder="1" applyAlignment="1">
      <alignment horizontal="center" vertical="center" wrapText="1"/>
    </xf>
    <xf numFmtId="1" fontId="2" fillId="0" borderId="5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12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/>
    </xf>
    <xf numFmtId="164" fontId="3" fillId="4" borderId="16" xfId="0" applyNumberFormat="1" applyFont="1" applyFill="1" applyBorder="1" applyAlignment="1">
      <alignment horizontal="center"/>
    </xf>
    <xf numFmtId="0" fontId="2" fillId="0" borderId="75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0" fillId="0" borderId="5" xfId="0" applyBorder="1"/>
    <xf numFmtId="0" fontId="0" fillId="0" borderId="62" xfId="0" applyBorder="1"/>
    <xf numFmtId="0" fontId="0" fillId="0" borderId="9" xfId="0" applyBorder="1"/>
    <xf numFmtId="0" fontId="0" fillId="0" borderId="6" xfId="0" applyBorder="1"/>
    <xf numFmtId="0" fontId="12" fillId="0" borderId="9" xfId="0" applyFont="1" applyBorder="1"/>
    <xf numFmtId="0" fontId="12" fillId="0" borderId="5" xfId="0" applyFont="1" applyBorder="1"/>
    <xf numFmtId="0" fontId="12" fillId="0" borderId="15" xfId="0" applyFont="1" applyBorder="1"/>
    <xf numFmtId="0" fontId="12" fillId="0" borderId="63" xfId="0" applyFont="1" applyBorder="1"/>
    <xf numFmtId="1" fontId="0" fillId="0" borderId="43" xfId="0" applyNumberFormat="1" applyBorder="1"/>
    <xf numFmtId="1" fontId="0" fillId="0" borderId="5" xfId="0" applyNumberFormat="1" applyBorder="1"/>
    <xf numFmtId="0" fontId="0" fillId="0" borderId="10" xfId="0" applyBorder="1"/>
    <xf numFmtId="1" fontId="3" fillId="0" borderId="19" xfId="0" applyNumberFormat="1" applyFont="1" applyBorder="1"/>
    <xf numFmtId="0" fontId="0" fillId="0" borderId="8" xfId="0" applyBorder="1"/>
    <xf numFmtId="0" fontId="12" fillId="0" borderId="10" xfId="0" applyFont="1" applyBorder="1"/>
    <xf numFmtId="0" fontId="12" fillId="0" borderId="60" xfId="0" applyFont="1" applyBorder="1"/>
    <xf numFmtId="0" fontId="12" fillId="0" borderId="7" xfId="0" applyFont="1" applyBorder="1"/>
    <xf numFmtId="0" fontId="12" fillId="0" borderId="19" xfId="0" applyFont="1" applyBorder="1"/>
    <xf numFmtId="0" fontId="0" fillId="0" borderId="39" xfId="0" applyBorder="1"/>
    <xf numFmtId="0" fontId="12" fillId="0" borderId="3" xfId="0" applyFont="1" applyBorder="1"/>
    <xf numFmtId="0" fontId="12" fillId="0" borderId="38" xfId="0" applyFont="1" applyBorder="1"/>
    <xf numFmtId="0" fontId="12" fillId="0" borderId="66" xfId="0" applyFont="1" applyBorder="1"/>
    <xf numFmtId="0" fontId="12" fillId="0" borderId="56" xfId="0" applyFont="1" applyBorder="1"/>
    <xf numFmtId="1" fontId="3" fillId="0" borderId="21" xfId="0" applyNumberFormat="1" applyFont="1" applyBorder="1"/>
    <xf numFmtId="0" fontId="0" fillId="0" borderId="64" xfId="0" applyBorder="1"/>
    <xf numFmtId="0" fontId="3" fillId="0" borderId="51" xfId="0" applyFont="1" applyBorder="1"/>
    <xf numFmtId="0" fontId="3" fillId="0" borderId="59" xfId="0" applyFont="1" applyBorder="1"/>
    <xf numFmtId="0" fontId="3" fillId="0" borderId="43" xfId="0" applyFont="1" applyBorder="1" applyAlignment="1">
      <alignment horizontal="left" vertical="center" wrapText="1"/>
    </xf>
    <xf numFmtId="0" fontId="14" fillId="19" borderId="5" xfId="0" applyFont="1" applyFill="1" applyBorder="1"/>
    <xf numFmtId="0" fontId="0" fillId="0" borderId="17" xfId="0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27" fillId="20" borderId="60" xfId="0" applyFont="1" applyFill="1" applyBorder="1" applyAlignment="1">
      <alignment horizontal="center"/>
    </xf>
    <xf numFmtId="0" fontId="3" fillId="10" borderId="22" xfId="0" applyFont="1" applyFill="1" applyBorder="1"/>
    <xf numFmtId="0" fontId="3" fillId="0" borderId="62" xfId="0" applyFont="1" applyBorder="1"/>
    <xf numFmtId="0" fontId="3" fillId="0" borderId="14" xfId="0" applyFont="1" applyBorder="1"/>
    <xf numFmtId="0" fontId="14" fillId="19" borderId="43" xfId="0" applyFont="1" applyFill="1" applyBorder="1"/>
    <xf numFmtId="0" fontId="12" fillId="0" borderId="6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3" fillId="0" borderId="0" xfId="0" applyFont="1" applyBorder="1"/>
    <xf numFmtId="0" fontId="0" fillId="0" borderId="56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2" fontId="7" fillId="9" borderId="60" xfId="0" applyNumberFormat="1" applyFont="1" applyFill="1" applyBorder="1"/>
    <xf numFmtId="0" fontId="0" fillId="0" borderId="47" xfId="0" applyBorder="1"/>
    <xf numFmtId="0" fontId="3" fillId="0" borderId="42" xfId="0" applyFont="1" applyBorder="1"/>
    <xf numFmtId="0" fontId="3" fillId="0" borderId="9" xfId="0" applyFont="1" applyBorder="1"/>
    <xf numFmtId="1" fontId="0" fillId="0" borderId="7" xfId="0" applyNumberFormat="1" applyBorder="1"/>
    <xf numFmtId="1" fontId="0" fillId="0" borderId="16" xfId="0" applyNumberFormat="1" applyBorder="1"/>
    <xf numFmtId="1" fontId="0" fillId="0" borderId="62" xfId="0" applyNumberFormat="1" applyBorder="1"/>
    <xf numFmtId="1" fontId="3" fillId="9" borderId="62" xfId="0" applyNumberFormat="1" applyFont="1" applyFill="1" applyBorder="1"/>
    <xf numFmtId="1" fontId="3" fillId="9" borderId="60" xfId="0" applyNumberFormat="1" applyFont="1" applyFill="1" applyBorder="1"/>
    <xf numFmtId="0" fontId="18" fillId="0" borderId="19" xfId="0" applyFont="1" applyBorder="1"/>
    <xf numFmtId="1" fontId="0" fillId="0" borderId="15" xfId="0" applyNumberFormat="1" applyBorder="1"/>
    <xf numFmtId="0" fontId="18" fillId="0" borderId="5" xfId="0" applyFont="1" applyBorder="1" applyAlignment="1">
      <alignment horizontal="right"/>
    </xf>
    <xf numFmtId="0" fontId="12" fillId="0" borderId="72" xfId="0" applyFont="1" applyBorder="1"/>
    <xf numFmtId="0" fontId="12" fillId="0" borderId="47" xfId="0" applyFont="1" applyBorder="1"/>
    <xf numFmtId="0" fontId="4" fillId="0" borderId="5" xfId="0" applyFont="1" applyBorder="1"/>
    <xf numFmtId="0" fontId="12" fillId="0" borderId="71" xfId="0" applyFont="1" applyBorder="1"/>
    <xf numFmtId="0" fontId="4" fillId="0" borderId="7" xfId="0" applyFont="1" applyBorder="1"/>
    <xf numFmtId="0" fontId="12" fillId="0" borderId="64" xfId="0" applyFont="1" applyBorder="1"/>
    <xf numFmtId="0" fontId="3" fillId="0" borderId="10" xfId="0" applyFont="1" applyBorder="1"/>
    <xf numFmtId="1" fontId="0" fillId="0" borderId="12" xfId="0" applyNumberFormat="1" applyBorder="1"/>
    <xf numFmtId="0" fontId="3" fillId="0" borderId="13" xfId="0" applyFont="1" applyBorder="1"/>
    <xf numFmtId="0" fontId="3" fillId="0" borderId="22" xfId="0" applyFont="1" applyBorder="1"/>
    <xf numFmtId="0" fontId="3" fillId="9" borderId="23" xfId="0" applyFont="1" applyFill="1" applyBorder="1"/>
    <xf numFmtId="0" fontId="3" fillId="5" borderId="53" xfId="0" applyFont="1" applyFill="1" applyBorder="1"/>
    <xf numFmtId="164" fontId="3" fillId="9" borderId="53" xfId="0" applyNumberFormat="1" applyFont="1" applyFill="1" applyBorder="1"/>
    <xf numFmtId="0" fontId="3" fillId="0" borderId="23" xfId="0" applyFont="1" applyBorder="1"/>
    <xf numFmtId="0" fontId="3" fillId="10" borderId="50" xfId="0" applyFont="1" applyFill="1" applyBorder="1"/>
    <xf numFmtId="0" fontId="3" fillId="10" borderId="14" xfId="0" applyFont="1" applyFill="1" applyBorder="1"/>
    <xf numFmtId="0" fontId="3" fillId="10" borderId="23" xfId="0" applyFont="1" applyFill="1" applyBorder="1"/>
    <xf numFmtId="0" fontId="3" fillId="10" borderId="59" xfId="0" applyFont="1" applyFill="1" applyBorder="1"/>
    <xf numFmtId="1" fontId="14" fillId="10" borderId="22" xfId="0" applyNumberFormat="1" applyFont="1" applyFill="1" applyBorder="1"/>
    <xf numFmtId="1" fontId="14" fillId="9" borderId="22" xfId="0" applyNumberFormat="1" applyFont="1" applyFill="1" applyBorder="1"/>
    <xf numFmtId="164" fontId="3" fillId="10" borderId="22" xfId="0" applyNumberFormat="1" applyFont="1" applyFill="1" applyBorder="1"/>
    <xf numFmtId="1" fontId="3" fillId="9" borderId="22" xfId="0" applyNumberFormat="1" applyFont="1" applyFill="1" applyBorder="1"/>
    <xf numFmtId="0" fontId="0" fillId="0" borderId="50" xfId="0" applyBorder="1" applyAlignment="1">
      <alignment horizontal="center" vertical="center" wrapText="1"/>
    </xf>
    <xf numFmtId="0" fontId="3" fillId="5" borderId="13" xfId="0" applyFont="1" applyFill="1" applyBorder="1"/>
    <xf numFmtId="0" fontId="3" fillId="5" borderId="13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21" borderId="50" xfId="0" applyFont="1" applyFill="1" applyBorder="1" applyAlignment="1">
      <alignment horizontal="center" vertical="center" wrapText="1"/>
    </xf>
    <xf numFmtId="0" fontId="3" fillId="21" borderId="59" xfId="0" applyFont="1" applyFill="1" applyBorder="1" applyAlignment="1">
      <alignment horizontal="center" vertical="center" wrapText="1"/>
    </xf>
    <xf numFmtId="1" fontId="3" fillId="5" borderId="40" xfId="0" applyNumberFormat="1" applyFont="1" applyFill="1" applyBorder="1"/>
    <xf numFmtId="0" fontId="3" fillId="5" borderId="23" xfId="0" applyFont="1" applyFill="1" applyBorder="1"/>
    <xf numFmtId="0" fontId="0" fillId="0" borderId="0" xfId="0" applyBorder="1"/>
    <xf numFmtId="0" fontId="12" fillId="0" borderId="24" xfId="0" applyFont="1" applyBorder="1"/>
    <xf numFmtId="0" fontId="9" fillId="0" borderId="75" xfId="0" applyFont="1" applyBorder="1"/>
    <xf numFmtId="0" fontId="12" fillId="0" borderId="75" xfId="0" applyFont="1" applyBorder="1"/>
    <xf numFmtId="0" fontId="29" fillId="0" borderId="78" xfId="0" applyFont="1" applyBorder="1"/>
    <xf numFmtId="0" fontId="3" fillId="0" borderId="3" xfId="0" applyFont="1" applyBorder="1"/>
    <xf numFmtId="1" fontId="4" fillId="0" borderId="20" xfId="0" applyNumberFormat="1" applyFont="1" applyBorder="1"/>
    <xf numFmtId="1" fontId="4" fillId="5" borderId="34" xfId="0" applyNumberFormat="1" applyFont="1" applyFill="1" applyBorder="1"/>
    <xf numFmtId="1" fontId="0" fillId="5" borderId="62" xfId="0" applyNumberFormat="1" applyFill="1" applyBorder="1"/>
    <xf numFmtId="1" fontId="4" fillId="5" borderId="60" xfId="0" applyNumberFormat="1" applyFont="1" applyFill="1" applyBorder="1"/>
    <xf numFmtId="0" fontId="3" fillId="5" borderId="50" xfId="0" applyFont="1" applyFill="1" applyBorder="1"/>
    <xf numFmtId="0" fontId="3" fillId="5" borderId="14" xfId="0" applyFont="1" applyFill="1" applyBorder="1"/>
    <xf numFmtId="0" fontId="3" fillId="5" borderId="59" xfId="0" applyFont="1" applyFill="1" applyBorder="1"/>
    <xf numFmtId="1" fontId="3" fillId="2" borderId="50" xfId="0" applyNumberFormat="1" applyFont="1" applyFill="1" applyBorder="1"/>
    <xf numFmtId="1" fontId="3" fillId="2" borderId="51" xfId="0" applyNumberFormat="1" applyFont="1" applyFill="1" applyBorder="1"/>
    <xf numFmtId="1" fontId="3" fillId="2" borderId="59" xfId="0" applyNumberFormat="1" applyFont="1" applyFill="1" applyBorder="1"/>
    <xf numFmtId="1" fontId="14" fillId="19" borderId="22" xfId="0" applyNumberFormat="1" applyFont="1" applyFill="1" applyBorder="1"/>
    <xf numFmtId="0" fontId="0" fillId="0" borderId="56" xfId="0" applyBorder="1"/>
    <xf numFmtId="0" fontId="2" fillId="0" borderId="37" xfId="0" applyFont="1" applyBorder="1"/>
    <xf numFmtId="0" fontId="12" fillId="0" borderId="37" xfId="0" applyFont="1" applyBorder="1"/>
    <xf numFmtId="0" fontId="3" fillId="10" borderId="50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1" fontId="18" fillId="9" borderId="51" xfId="0" applyNumberFormat="1" applyFont="1" applyFill="1" applyBorder="1"/>
    <xf numFmtId="1" fontId="18" fillId="9" borderId="14" xfId="0" applyNumberFormat="1" applyFont="1" applyFill="1" applyBorder="1"/>
    <xf numFmtId="1" fontId="14" fillId="9" borderId="14" xfId="0" applyNumberFormat="1" applyFont="1" applyFill="1" applyBorder="1"/>
    <xf numFmtId="1" fontId="0" fillId="0" borderId="14" xfId="0" applyNumberFormat="1" applyBorder="1"/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/>
    <xf numFmtId="0" fontId="0" fillId="0" borderId="0" xfId="0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12" fillId="0" borderId="9" xfId="0" applyFont="1" applyBorder="1" applyAlignment="1">
      <alignment horizontal="center" vertical="center" wrapText="1"/>
    </xf>
    <xf numFmtId="1" fontId="3" fillId="16" borderId="59" xfId="0" applyNumberFormat="1" applyFont="1" applyFill="1" applyBorder="1"/>
    <xf numFmtId="1" fontId="3" fillId="18" borderId="22" xfId="0" applyNumberFormat="1" applyFont="1" applyFill="1" applyBorder="1"/>
    <xf numFmtId="0" fontId="18" fillId="8" borderId="17" xfId="0" applyFont="1" applyFill="1" applyBorder="1" applyAlignment="1">
      <alignment wrapText="1"/>
    </xf>
    <xf numFmtId="0" fontId="18" fillId="8" borderId="74" xfId="0" applyFont="1" applyFill="1" applyBorder="1" applyAlignment="1">
      <alignment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167" fontId="13" fillId="0" borderId="66" xfId="0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10" fontId="2" fillId="0" borderId="51" xfId="0" applyNumberFormat="1" applyFont="1" applyBorder="1" applyAlignment="1">
      <alignment horizontal="center" vertical="center" wrapText="1"/>
    </xf>
    <xf numFmtId="10" fontId="12" fillId="0" borderId="51" xfId="0" applyNumberFormat="1" applyFont="1" applyBorder="1" applyAlignment="1">
      <alignment horizontal="center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" fontId="3" fillId="9" borderId="34" xfId="0" applyNumberFormat="1" applyFont="1" applyFill="1" applyBorder="1"/>
    <xf numFmtId="164" fontId="4" fillId="5" borderId="34" xfId="0" applyNumberFormat="1" applyFont="1" applyFill="1" applyBorder="1"/>
    <xf numFmtId="0" fontId="3" fillId="5" borderId="10" xfId="0" applyFont="1" applyFill="1" applyBorder="1" applyAlignment="1">
      <alignment horizontal="center" vertical="center" wrapText="1"/>
    </xf>
    <xf numFmtId="1" fontId="4" fillId="5" borderId="54" xfId="0" applyNumberFormat="1" applyFont="1" applyFill="1" applyBorder="1"/>
    <xf numFmtId="1" fontId="3" fillId="19" borderId="50" xfId="0" applyNumberFormat="1" applyFont="1" applyFill="1" applyBorder="1"/>
    <xf numFmtId="0" fontId="3" fillId="0" borderId="6" xfId="0" applyFont="1" applyBorder="1"/>
    <xf numFmtId="0" fontId="4" fillId="0" borderId="6" xfId="0" applyFont="1" applyBorder="1"/>
    <xf numFmtId="0" fontId="4" fillId="0" borderId="8" xfId="0" applyFont="1" applyBorder="1"/>
    <xf numFmtId="0" fontId="3" fillId="0" borderId="61" xfId="0" applyFont="1" applyBorder="1"/>
    <xf numFmtId="1" fontId="0" fillId="0" borderId="10" xfId="0" applyNumberFormat="1" applyBorder="1"/>
    <xf numFmtId="1" fontId="3" fillId="18" borderId="14" xfId="0" applyNumberFormat="1" applyFont="1" applyFill="1" applyBorder="1"/>
    <xf numFmtId="1" fontId="3" fillId="5" borderId="13" xfId="0" applyNumberFormat="1" applyFont="1" applyFill="1" applyBorder="1" applyAlignment="1">
      <alignment horizontal="center" vertical="center" wrapText="1"/>
    </xf>
    <xf numFmtId="1" fontId="3" fillId="2" borderId="52" xfId="0" applyNumberFormat="1" applyFont="1" applyFill="1" applyBorder="1"/>
    <xf numFmtId="1" fontId="18" fillId="9" borderId="13" xfId="0" applyNumberFormat="1" applyFont="1" applyFill="1" applyBorder="1"/>
    <xf numFmtId="2" fontId="7" fillId="9" borderId="40" xfId="0" applyNumberFormat="1" applyFont="1" applyFill="1" applyBorder="1"/>
    <xf numFmtId="2" fontId="7" fillId="9" borderId="66" xfId="0" applyNumberFormat="1" applyFont="1" applyFill="1" applyBorder="1"/>
    <xf numFmtId="0" fontId="0" fillId="0" borderId="43" xfId="0" applyBorder="1"/>
    <xf numFmtId="1" fontId="0" fillId="0" borderId="9" xfId="0" applyNumberFormat="1" applyBorder="1"/>
    <xf numFmtId="0" fontId="18" fillId="0" borderId="40" xfId="0" applyFont="1" applyFill="1" applyBorder="1" applyAlignment="1">
      <alignment wrapText="1"/>
    </xf>
    <xf numFmtId="0" fontId="18" fillId="0" borderId="66" xfId="0" applyFont="1" applyFill="1" applyBorder="1" applyAlignment="1">
      <alignment wrapText="1"/>
    </xf>
    <xf numFmtId="0" fontId="3" fillId="5" borderId="56" xfId="0" applyFont="1" applyFill="1" applyBorder="1"/>
    <xf numFmtId="0" fontId="3" fillId="5" borderId="36" xfId="0" applyFont="1" applyFill="1" applyBorder="1"/>
    <xf numFmtId="0" fontId="3" fillId="5" borderId="35" xfId="0" applyFont="1" applyFill="1" applyBorder="1"/>
    <xf numFmtId="0" fontId="3" fillId="0" borderId="3" xfId="0" applyFont="1" applyFill="1" applyBorder="1"/>
    <xf numFmtId="1" fontId="18" fillId="5" borderId="56" xfId="0" applyNumberFormat="1" applyFont="1" applyFill="1" applyBorder="1"/>
    <xf numFmtId="1" fontId="3" fillId="5" borderId="39" xfId="0" applyNumberFormat="1" applyFont="1" applyFill="1" applyBorder="1"/>
    <xf numFmtId="0" fontId="3" fillId="16" borderId="3" xfId="0" applyFont="1" applyFill="1" applyBorder="1"/>
    <xf numFmtId="1" fontId="3" fillId="17" borderId="36" xfId="0" applyNumberFormat="1" applyFont="1" applyFill="1" applyBorder="1"/>
    <xf numFmtId="1" fontId="3" fillId="16" borderId="66" xfId="0" applyNumberFormat="1" applyFont="1" applyFill="1" applyBorder="1"/>
    <xf numFmtId="166" fontId="3" fillId="16" borderId="66" xfId="0" applyNumberFormat="1" applyFont="1" applyFill="1" applyBorder="1"/>
    <xf numFmtId="0" fontId="3" fillId="17" borderId="26" xfId="0" applyFont="1" applyFill="1" applyBorder="1" applyAlignment="1">
      <alignment horizontal="center" vertical="center" wrapText="1"/>
    </xf>
    <xf numFmtId="0" fontId="0" fillId="0" borderId="75" xfId="0" applyBorder="1"/>
    <xf numFmtId="1" fontId="2" fillId="0" borderId="12" xfId="0" applyNumberFormat="1" applyFont="1" applyBorder="1"/>
    <xf numFmtId="0" fontId="12" fillId="0" borderId="27" xfId="0" applyFont="1" applyBorder="1" applyAlignment="1">
      <alignment horizontal="center"/>
    </xf>
    <xf numFmtId="164" fontId="3" fillId="0" borderId="47" xfId="0" applyNumberFormat="1" applyFont="1" applyBorder="1" applyAlignment="1">
      <alignment horizontal="center"/>
    </xf>
    <xf numFmtId="0" fontId="9" fillId="5" borderId="22" xfId="0" applyFont="1" applyFill="1" applyBorder="1" applyAlignment="1">
      <alignment horizontal="right"/>
    </xf>
    <xf numFmtId="0" fontId="18" fillId="0" borderId="71" xfId="0" applyFont="1" applyBorder="1"/>
    <xf numFmtId="0" fontId="3" fillId="0" borderId="43" xfId="0" applyFont="1" applyBorder="1"/>
    <xf numFmtId="0" fontId="3" fillId="21" borderId="23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3" fillId="10" borderId="23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 wrapText="1"/>
    </xf>
    <xf numFmtId="168" fontId="3" fillId="0" borderId="5" xfId="0" applyNumberFormat="1" applyFont="1" applyBorder="1" applyAlignment="1">
      <alignment horizontal="center" vertical="center" wrapText="1"/>
    </xf>
    <xf numFmtId="166" fontId="12" fillId="0" borderId="60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/>
    </xf>
    <xf numFmtId="1" fontId="12" fillId="0" borderId="43" xfId="0" applyNumberFormat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12" fillId="0" borderId="9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/>
    <xf numFmtId="0" fontId="12" fillId="0" borderId="10" xfId="0" applyFont="1" applyBorder="1" applyAlignment="1">
      <alignment horizontal="right" vertical="center" wrapText="1"/>
    </xf>
    <xf numFmtId="1" fontId="12" fillId="0" borderId="4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1" fontId="12" fillId="0" borderId="7" xfId="0" applyNumberFormat="1" applyFont="1" applyBorder="1" applyAlignment="1">
      <alignment horizontal="right"/>
    </xf>
    <xf numFmtId="1" fontId="3" fillId="8" borderId="63" xfId="0" applyNumberFormat="1" applyFont="1" applyFill="1" applyBorder="1"/>
    <xf numFmtId="0" fontId="3" fillId="10" borderId="53" xfId="0" applyFont="1" applyFill="1" applyBorder="1"/>
    <xf numFmtId="0" fontId="3" fillId="19" borderId="53" xfId="0" applyFont="1" applyFill="1" applyBorder="1"/>
    <xf numFmtId="1" fontId="3" fillId="22" borderId="22" xfId="0" applyNumberFormat="1" applyFont="1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/>
    <xf numFmtId="0" fontId="33" fillId="0" borderId="0" xfId="0" applyFont="1"/>
    <xf numFmtId="1" fontId="0" fillId="0" borderId="0" xfId="0" applyNumberFormat="1"/>
    <xf numFmtId="0" fontId="12" fillId="0" borderId="15" xfId="0" applyFont="1" applyBorder="1" applyAlignment="1">
      <alignment horizontal="center" vertical="center" wrapText="1"/>
    </xf>
    <xf numFmtId="0" fontId="18" fillId="0" borderId="16" xfId="0" applyFont="1" applyBorder="1"/>
    <xf numFmtId="0" fontId="12" fillId="0" borderId="15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right"/>
    </xf>
    <xf numFmtId="1" fontId="12" fillId="0" borderId="9" xfId="0" applyNumberFormat="1" applyFont="1" applyBorder="1" applyAlignment="1">
      <alignment horizontal="right"/>
    </xf>
    <xf numFmtId="1" fontId="12" fillId="0" borderId="10" xfId="0" applyNumberFormat="1" applyFont="1" applyBorder="1" applyAlignment="1">
      <alignment horizontal="right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3" fillId="0" borderId="47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10" fontId="33" fillId="0" borderId="10" xfId="0" applyNumberFormat="1" applyFont="1" applyBorder="1" applyAlignment="1">
      <alignment horizontal="center" vertical="center" wrapText="1"/>
    </xf>
    <xf numFmtId="0" fontId="34" fillId="0" borderId="0" xfId="0" applyFont="1"/>
    <xf numFmtId="10" fontId="33" fillId="0" borderId="7" xfId="0" applyNumberFormat="1" applyFont="1" applyBorder="1" applyAlignment="1">
      <alignment horizontal="center" vertical="center" wrapText="1"/>
    </xf>
    <xf numFmtId="10" fontId="33" fillId="0" borderId="63" xfId="0" applyNumberFormat="1" applyFont="1" applyBorder="1" applyAlignment="1">
      <alignment horizontal="center" vertical="center" wrapText="1"/>
    </xf>
    <xf numFmtId="0" fontId="3" fillId="20" borderId="42" xfId="0" applyFont="1" applyFill="1" applyBorder="1" applyAlignment="1">
      <alignment horizontal="center" vertical="center" wrapText="1"/>
    </xf>
    <xf numFmtId="0" fontId="3" fillId="20" borderId="4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58" xfId="0" applyFont="1" applyBorder="1" applyAlignment="1">
      <alignment horizontal="left" wrapText="1"/>
    </xf>
    <xf numFmtId="0" fontId="14" fillId="0" borderId="5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1" fontId="14" fillId="6" borderId="24" xfId="0" applyNumberFormat="1" applyFont="1" applyFill="1" applyBorder="1" applyAlignment="1">
      <alignment horizontal="center" vertical="center" wrapText="1"/>
    </xf>
    <xf numFmtId="1" fontId="14" fillId="6" borderId="60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/>
    </xf>
    <xf numFmtId="164" fontId="3" fillId="0" borderId="23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9" fontId="3" fillId="6" borderId="24" xfId="0" applyNumberFormat="1" applyFont="1" applyFill="1" applyBorder="1" applyAlignment="1">
      <alignment horizontal="center" vertical="center" wrapText="1"/>
    </xf>
    <xf numFmtId="9" fontId="3" fillId="6" borderId="60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  <xf numFmtId="0" fontId="3" fillId="15" borderId="40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9" fontId="3" fillId="0" borderId="31" xfId="0" applyNumberFormat="1" applyFont="1" applyBorder="1" applyAlignment="1">
      <alignment horizontal="center" vertical="center" wrapText="1"/>
    </xf>
    <xf numFmtId="9" fontId="3" fillId="0" borderId="37" xfId="0" applyNumberFormat="1" applyFont="1" applyBorder="1" applyAlignment="1">
      <alignment horizontal="center" vertical="center" wrapText="1"/>
    </xf>
    <xf numFmtId="9" fontId="3" fillId="0" borderId="32" xfId="0" applyNumberFormat="1" applyFont="1" applyBorder="1" applyAlignment="1">
      <alignment horizontal="center" vertical="center" wrapText="1"/>
    </xf>
    <xf numFmtId="9" fontId="3" fillId="0" borderId="38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left" wrapText="1"/>
    </xf>
    <xf numFmtId="0" fontId="3" fillId="5" borderId="7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left" vertical="center"/>
    </xf>
    <xf numFmtId="0" fontId="32" fillId="3" borderId="14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3" fillId="0" borderId="23" xfId="0" applyFont="1" applyBorder="1" applyAlignment="1">
      <alignment horizontal="left" vertical="center" wrapText="1"/>
    </xf>
    <xf numFmtId="0" fontId="20" fillId="4" borderId="13" xfId="0" applyFont="1" applyFill="1" applyBorder="1" applyAlignment="1">
      <alignment horizontal="left"/>
    </xf>
    <xf numFmtId="0" fontId="20" fillId="4" borderId="23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/>
    </xf>
    <xf numFmtId="0" fontId="3" fillId="3" borderId="59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9" borderId="70" xfId="0" applyFont="1" applyFill="1" applyBorder="1" applyAlignment="1">
      <alignment horizontal="center" vertical="center" wrapText="1"/>
    </xf>
    <xf numFmtId="0" fontId="3" fillId="9" borderId="72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79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12" fillId="9" borderId="55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6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0" fillId="16" borderId="35" xfId="0" applyFont="1" applyFill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8"/>
  <sheetViews>
    <sheetView tabSelected="1" topLeftCell="D1" zoomScale="75" zoomScaleNormal="75" workbookViewId="0">
      <selection activeCell="S31" sqref="S31"/>
    </sheetView>
  </sheetViews>
  <sheetFormatPr defaultRowHeight="15" x14ac:dyDescent="0.25"/>
  <cols>
    <col min="1" max="1" width="5.140625" customWidth="1"/>
    <col min="2" max="2" width="19.140625" style="320" customWidth="1"/>
    <col min="3" max="3" width="8.7109375" customWidth="1"/>
    <col min="4" max="4" width="7.7109375" customWidth="1"/>
    <col min="5" max="5" width="7.85546875" customWidth="1"/>
    <col min="6" max="6" width="7.42578125" customWidth="1"/>
    <col min="7" max="7" width="6.85546875" customWidth="1"/>
    <col min="8" max="8" width="6.5703125" customWidth="1"/>
    <col min="9" max="10" width="6.7109375" customWidth="1"/>
    <col min="11" max="11" width="8.42578125" customWidth="1"/>
    <col min="12" max="12" width="9.5703125" bestFit="1" customWidth="1"/>
    <col min="13" max="13" width="11.140625" customWidth="1"/>
    <col min="15" max="15" width="10.85546875" customWidth="1"/>
    <col min="16" max="16" width="11.28515625" customWidth="1"/>
    <col min="17" max="17" width="8.7109375" customWidth="1"/>
    <col min="18" max="18" width="9" customWidth="1"/>
    <col min="19" max="19" width="9.7109375" customWidth="1"/>
    <col min="20" max="20" width="10.85546875" customWidth="1"/>
    <col min="23" max="23" width="10.5703125" customWidth="1"/>
    <col min="24" max="24" width="10.7109375" customWidth="1"/>
    <col min="25" max="25" width="9.7109375" customWidth="1"/>
    <col min="36" max="36" width="10.42578125" customWidth="1"/>
    <col min="37" max="37" width="5.5703125" customWidth="1"/>
    <col min="38" max="38" width="8" customWidth="1"/>
    <col min="39" max="39" width="7.7109375" customWidth="1"/>
    <col min="40" max="40" width="7.140625" customWidth="1"/>
    <col min="41" max="41" width="7" customWidth="1"/>
    <col min="42" max="42" width="9.42578125" customWidth="1"/>
    <col min="43" max="43" width="7" customWidth="1"/>
    <col min="47" max="47" width="11.140625" customWidth="1"/>
    <col min="48" max="48" width="10.85546875" customWidth="1"/>
  </cols>
  <sheetData>
    <row r="1" spans="1:48" ht="15.75" thickBot="1" x14ac:dyDescent="0.3">
      <c r="A1" s="492" t="s">
        <v>81</v>
      </c>
    </row>
    <row r="2" spans="1:48" ht="15.75" thickBot="1" x14ac:dyDescent="0.3">
      <c r="A2" s="319"/>
      <c r="B2" s="321"/>
      <c r="C2" s="18"/>
      <c r="D2" s="18"/>
      <c r="E2" s="18"/>
      <c r="F2" s="18"/>
      <c r="G2" s="18"/>
      <c r="H2" s="18"/>
      <c r="I2" s="18"/>
      <c r="J2" s="149"/>
      <c r="K2" s="809"/>
      <c r="L2" s="810"/>
      <c r="M2" s="810"/>
      <c r="N2" s="811" t="s">
        <v>31</v>
      </c>
      <c r="O2" s="19"/>
      <c r="P2" s="19"/>
      <c r="Q2" s="19"/>
      <c r="R2" s="19"/>
      <c r="S2" s="19"/>
      <c r="T2" s="19"/>
      <c r="U2" s="146"/>
      <c r="V2" s="146"/>
      <c r="W2" s="146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K2" s="147" t="s">
        <v>68</v>
      </c>
      <c r="AL2" s="146"/>
      <c r="AM2" s="146"/>
      <c r="AN2" s="146"/>
      <c r="AO2" s="146"/>
      <c r="AP2" s="146"/>
      <c r="AQ2" s="147"/>
      <c r="AR2" s="251"/>
      <c r="AS2" s="251"/>
      <c r="AT2" s="251"/>
      <c r="AU2" s="251"/>
      <c r="AV2" s="147" t="s">
        <v>48</v>
      </c>
    </row>
    <row r="3" spans="1:48" ht="27" customHeight="1" thickBot="1" x14ac:dyDescent="0.3">
      <c r="A3" s="822" t="s">
        <v>0</v>
      </c>
      <c r="B3" s="824" t="s">
        <v>1</v>
      </c>
      <c r="C3" s="799" t="s">
        <v>32</v>
      </c>
      <c r="D3" s="801" t="s">
        <v>33</v>
      </c>
      <c r="E3" s="802"/>
      <c r="F3" s="797" t="s">
        <v>34</v>
      </c>
      <c r="G3" s="742"/>
      <c r="H3" s="742"/>
      <c r="I3" s="742"/>
      <c r="J3" s="743"/>
      <c r="K3" s="803" t="s">
        <v>35</v>
      </c>
      <c r="L3" s="805" t="s">
        <v>36</v>
      </c>
      <c r="M3" s="807" t="s">
        <v>37</v>
      </c>
      <c r="N3" s="812"/>
      <c r="O3" s="814" t="s">
        <v>38</v>
      </c>
      <c r="P3" s="816" t="s">
        <v>279</v>
      </c>
      <c r="Q3" s="797" t="s">
        <v>39</v>
      </c>
      <c r="R3" s="742"/>
      <c r="S3" s="911"/>
      <c r="T3" s="792" t="s">
        <v>40</v>
      </c>
      <c r="U3" s="148"/>
      <c r="V3" s="18"/>
      <c r="W3" s="149"/>
      <c r="X3" s="794" t="s">
        <v>49</v>
      </c>
      <c r="Y3" s="795"/>
      <c r="Z3" s="796"/>
      <c r="AA3" s="763" t="s">
        <v>50</v>
      </c>
      <c r="AB3" s="797" t="s">
        <v>51</v>
      </c>
      <c r="AC3" s="742"/>
      <c r="AD3" s="798" t="s">
        <v>52</v>
      </c>
      <c r="AE3" s="743"/>
      <c r="AF3" s="739" t="s">
        <v>107</v>
      </c>
      <c r="AG3" s="741"/>
      <c r="AH3" s="783" t="s">
        <v>53</v>
      </c>
      <c r="AI3" s="785" t="s">
        <v>53</v>
      </c>
      <c r="AJ3" s="787" t="s">
        <v>54</v>
      </c>
      <c r="AK3" s="768" t="s">
        <v>69</v>
      </c>
      <c r="AL3" s="789"/>
      <c r="AM3" s="789"/>
      <c r="AN3" s="789"/>
      <c r="AO3" s="789"/>
      <c r="AP3" s="789"/>
      <c r="AQ3" s="769"/>
      <c r="AR3" s="790" t="s">
        <v>70</v>
      </c>
      <c r="AS3" s="768"/>
      <c r="AT3" s="769"/>
      <c r="AU3" s="776" t="s">
        <v>71</v>
      </c>
      <c r="AV3" s="778" t="s">
        <v>80</v>
      </c>
    </row>
    <row r="4" spans="1:48" ht="88.5" customHeight="1" thickBot="1" x14ac:dyDescent="0.3">
      <c r="A4" s="823"/>
      <c r="B4" s="825"/>
      <c r="C4" s="800"/>
      <c r="D4" s="20" t="s">
        <v>41</v>
      </c>
      <c r="E4" s="21" t="s">
        <v>42</v>
      </c>
      <c r="F4" s="21" t="s">
        <v>43</v>
      </c>
      <c r="G4" s="21" t="s">
        <v>44</v>
      </c>
      <c r="H4" s="21" t="s">
        <v>45</v>
      </c>
      <c r="I4" s="21" t="s">
        <v>46</v>
      </c>
      <c r="J4" s="22" t="s">
        <v>47</v>
      </c>
      <c r="K4" s="804"/>
      <c r="L4" s="806"/>
      <c r="M4" s="808"/>
      <c r="N4" s="813"/>
      <c r="O4" s="815"/>
      <c r="P4" s="817"/>
      <c r="Q4" s="23" t="s">
        <v>280</v>
      </c>
      <c r="R4" s="23" t="s">
        <v>281</v>
      </c>
      <c r="S4" s="23" t="s">
        <v>282</v>
      </c>
      <c r="T4" s="793"/>
      <c r="U4" s="150" t="s">
        <v>55</v>
      </c>
      <c r="V4" s="151" t="s">
        <v>56</v>
      </c>
      <c r="W4" s="151" t="s">
        <v>57</v>
      </c>
      <c r="X4" s="152" t="s">
        <v>58</v>
      </c>
      <c r="Y4" s="152" t="s">
        <v>59</v>
      </c>
      <c r="Z4" s="153" t="s">
        <v>60</v>
      </c>
      <c r="AA4" s="765"/>
      <c r="AB4" s="154" t="s">
        <v>61</v>
      </c>
      <c r="AC4" s="155" t="s">
        <v>62</v>
      </c>
      <c r="AD4" s="156" t="s">
        <v>63</v>
      </c>
      <c r="AE4" s="157" t="s">
        <v>64</v>
      </c>
      <c r="AF4" s="243" t="s">
        <v>108</v>
      </c>
      <c r="AG4" s="26" t="s">
        <v>109</v>
      </c>
      <c r="AH4" s="784"/>
      <c r="AI4" s="786"/>
      <c r="AJ4" s="788"/>
      <c r="AK4" s="252" t="s">
        <v>72</v>
      </c>
      <c r="AL4" s="253" t="s">
        <v>73</v>
      </c>
      <c r="AM4" s="301" t="s">
        <v>78</v>
      </c>
      <c r="AN4" s="302" t="s">
        <v>79</v>
      </c>
      <c r="AO4" s="298" t="s">
        <v>74</v>
      </c>
      <c r="AP4" s="254" t="s">
        <v>75</v>
      </c>
      <c r="AQ4" s="255" t="s">
        <v>31</v>
      </c>
      <c r="AR4" s="791"/>
      <c r="AS4" s="256" t="s">
        <v>76</v>
      </c>
      <c r="AT4" s="257" t="s">
        <v>77</v>
      </c>
      <c r="AU4" s="777"/>
      <c r="AV4" s="779"/>
    </row>
    <row r="5" spans="1:48" x14ac:dyDescent="0.25">
      <c r="A5" s="13"/>
      <c r="B5" s="14"/>
      <c r="C5" s="24">
        <v>1</v>
      </c>
      <c r="D5" s="25">
        <v>2</v>
      </c>
      <c r="E5" s="26">
        <v>3</v>
      </c>
      <c r="F5" s="27" t="s">
        <v>116</v>
      </c>
      <c r="G5" s="27" t="s">
        <v>117</v>
      </c>
      <c r="H5" s="27" t="s">
        <v>118</v>
      </c>
      <c r="I5" s="27" t="s">
        <v>119</v>
      </c>
      <c r="J5" s="28" t="s">
        <v>120</v>
      </c>
      <c r="K5" s="29" t="s">
        <v>121</v>
      </c>
      <c r="L5" s="30" t="s">
        <v>122</v>
      </c>
      <c r="M5" s="31" t="s">
        <v>123</v>
      </c>
      <c r="N5" s="27" t="s">
        <v>124</v>
      </c>
      <c r="O5" s="32">
        <v>4</v>
      </c>
      <c r="P5" s="31" t="s">
        <v>125</v>
      </c>
      <c r="Q5" s="31" t="s">
        <v>126</v>
      </c>
      <c r="R5" s="31" t="s">
        <v>127</v>
      </c>
      <c r="S5" s="27" t="s">
        <v>128</v>
      </c>
      <c r="T5" s="33">
        <v>5</v>
      </c>
      <c r="U5" s="27">
        <v>6</v>
      </c>
      <c r="V5" s="27">
        <v>7</v>
      </c>
      <c r="W5" s="27">
        <v>8</v>
      </c>
      <c r="X5" s="158" t="s">
        <v>129</v>
      </c>
      <c r="Y5" s="158" t="s">
        <v>130</v>
      </c>
      <c r="Z5" s="159" t="s">
        <v>131</v>
      </c>
      <c r="AA5" s="160">
        <v>10</v>
      </c>
      <c r="AB5" s="161" t="s">
        <v>132</v>
      </c>
      <c r="AC5" s="162" t="s">
        <v>133</v>
      </c>
      <c r="AD5" s="163" t="s">
        <v>134</v>
      </c>
      <c r="AE5" s="164" t="s">
        <v>65</v>
      </c>
      <c r="AF5" s="164" t="s">
        <v>135</v>
      </c>
      <c r="AG5" s="446" t="s">
        <v>136</v>
      </c>
      <c r="AH5" s="165" t="s">
        <v>137</v>
      </c>
      <c r="AI5" s="166" t="s">
        <v>138</v>
      </c>
      <c r="AJ5" s="244">
        <v>15</v>
      </c>
      <c r="AK5" s="258" t="s">
        <v>139</v>
      </c>
      <c r="AL5" s="259" t="s">
        <v>140</v>
      </c>
      <c r="AM5" s="303"/>
      <c r="AN5" s="304"/>
      <c r="AO5" s="263" t="s">
        <v>141</v>
      </c>
      <c r="AP5" s="260" t="s">
        <v>142</v>
      </c>
      <c r="AQ5" s="259" t="s">
        <v>143</v>
      </c>
      <c r="AR5" s="261">
        <v>16</v>
      </c>
      <c r="AS5" s="262" t="s">
        <v>144</v>
      </c>
      <c r="AT5" s="262" t="s">
        <v>145</v>
      </c>
      <c r="AU5" s="490">
        <v>17</v>
      </c>
      <c r="AV5" s="491">
        <v>18</v>
      </c>
    </row>
    <row r="6" spans="1:48" ht="15.75" x14ac:dyDescent="0.25">
      <c r="A6" s="15"/>
      <c r="B6" s="16" t="s">
        <v>2</v>
      </c>
      <c r="C6" s="34">
        <v>33000</v>
      </c>
      <c r="D6" s="35">
        <v>6992</v>
      </c>
      <c r="E6" s="36"/>
      <c r="F6" s="37">
        <v>1370</v>
      </c>
      <c r="G6" s="37">
        <v>3592</v>
      </c>
      <c r="H6" s="37">
        <v>436</v>
      </c>
      <c r="I6" s="37">
        <v>1588</v>
      </c>
      <c r="J6" s="38">
        <v>2282</v>
      </c>
      <c r="K6" s="31"/>
      <c r="L6" s="27"/>
      <c r="M6" s="31"/>
      <c r="N6" s="39">
        <v>1.7000000000000001E-2</v>
      </c>
      <c r="O6" s="32"/>
      <c r="P6" s="40">
        <v>0.98643425600000001</v>
      </c>
      <c r="Q6" s="41"/>
      <c r="R6" s="41"/>
      <c r="S6" s="42">
        <v>17.8913738</v>
      </c>
      <c r="T6" s="33"/>
      <c r="U6" s="167"/>
      <c r="V6" s="161"/>
      <c r="W6" s="167"/>
      <c r="X6" s="167"/>
      <c r="Y6" s="167"/>
      <c r="Z6" s="168">
        <v>1.7000000000000001E-2</v>
      </c>
      <c r="AA6" s="169">
        <v>25</v>
      </c>
      <c r="AB6" s="170"/>
      <c r="AC6" s="171">
        <v>1009</v>
      </c>
      <c r="AD6" s="172"/>
      <c r="AE6" s="173">
        <v>72</v>
      </c>
      <c r="AF6" s="174"/>
      <c r="AG6" s="447"/>
      <c r="AH6" s="175">
        <v>87</v>
      </c>
      <c r="AI6" s="176">
        <v>97</v>
      </c>
      <c r="AJ6" s="245"/>
      <c r="AK6" s="264"/>
      <c r="AL6" s="265">
        <v>1486</v>
      </c>
      <c r="AM6" s="305"/>
      <c r="AN6" s="306"/>
      <c r="AO6" s="271"/>
      <c r="AP6" s="266">
        <v>582</v>
      </c>
      <c r="AQ6" s="267">
        <v>1.7000000000000001E-2</v>
      </c>
      <c r="AR6" s="268"/>
      <c r="AS6" s="269">
        <v>589.03488890000006</v>
      </c>
      <c r="AT6" s="270">
        <v>126.098</v>
      </c>
      <c r="AU6" s="177"/>
      <c r="AV6" s="376"/>
    </row>
    <row r="7" spans="1:48" x14ac:dyDescent="0.25">
      <c r="A7" s="2">
        <v>1</v>
      </c>
      <c r="B7" s="322" t="s">
        <v>3</v>
      </c>
      <c r="C7" s="43">
        <v>1</v>
      </c>
      <c r="D7" s="44">
        <v>16</v>
      </c>
      <c r="E7" s="45">
        <f t="shared" ref="E7:E20" si="0">SUM(F7:J7)</f>
        <v>356</v>
      </c>
      <c r="F7" s="46">
        <v>356</v>
      </c>
      <c r="G7" s="46"/>
      <c r="H7" s="46"/>
      <c r="I7" s="46"/>
      <c r="J7" s="47"/>
      <c r="K7" s="48">
        <f>C7*$C$6</f>
        <v>33000</v>
      </c>
      <c r="L7" s="49">
        <f>D7*$D$6</f>
        <v>111872</v>
      </c>
      <c r="M7" s="50">
        <f>F7*$F$6</f>
        <v>487720</v>
      </c>
      <c r="N7" s="51">
        <f>SUM(K7:M7)*$N$6</f>
        <v>10754.064</v>
      </c>
      <c r="O7" s="52">
        <f>SUM(K7:N7)</f>
        <v>643346.06400000001</v>
      </c>
      <c r="P7" s="96">
        <v>634619</v>
      </c>
      <c r="Q7" s="50">
        <v>1400</v>
      </c>
      <c r="R7" s="50"/>
      <c r="S7" s="53">
        <v>6369</v>
      </c>
      <c r="T7" s="54">
        <f>SUM(P7:S7)</f>
        <v>642388</v>
      </c>
      <c r="U7" s="178">
        <f t="shared" ref="U7:U8" si="1">G7*$G$6</f>
        <v>0</v>
      </c>
      <c r="V7" s="178"/>
      <c r="W7" s="178"/>
      <c r="X7" s="179"/>
      <c r="Y7" s="179"/>
      <c r="Z7" s="180"/>
      <c r="AA7" s="181">
        <f>F7*$AA$6</f>
        <v>8900</v>
      </c>
      <c r="AB7" s="182"/>
      <c r="AC7" s="182">
        <f t="shared" ref="AC7:AC12" si="2">AB7*$AD$7</f>
        <v>0</v>
      </c>
      <c r="AD7" s="2">
        <v>356</v>
      </c>
      <c r="AE7" s="183">
        <f t="shared" ref="AE7:AE20" si="3">AD7*$AE$6</f>
        <v>25632</v>
      </c>
      <c r="AF7" s="183"/>
      <c r="AG7" s="50"/>
      <c r="AH7" s="184"/>
      <c r="AI7" s="75"/>
      <c r="AJ7" s="246">
        <f>Z7+Y7+W7+V7+U7+T7+AA7+AC7+AE7+AH7+AI7+X7</f>
        <v>676920</v>
      </c>
      <c r="AK7" s="272">
        <v>3</v>
      </c>
      <c r="AL7" s="273">
        <f>AK7*$AL$6</f>
        <v>4458</v>
      </c>
      <c r="AM7" s="307">
        <f>356</f>
        <v>356</v>
      </c>
      <c r="AN7" s="308">
        <v>0.22752808988764045</v>
      </c>
      <c r="AO7" s="299">
        <v>81</v>
      </c>
      <c r="AP7" s="274">
        <f t="shared" ref="AP7:AP20" si="4">AO7*$AP$6</f>
        <v>47142</v>
      </c>
      <c r="AQ7" s="275">
        <f>(AL7+AP7)*$AQ$6</f>
        <v>877.2</v>
      </c>
      <c r="AR7" s="276">
        <f t="shared" ref="AR7:AR20" si="5">AL7+AP7+AQ7</f>
        <v>52477.2</v>
      </c>
      <c r="AS7" s="277">
        <v>47712</v>
      </c>
      <c r="AT7" s="275">
        <v>2043</v>
      </c>
      <c r="AU7" s="318">
        <f t="shared" ref="AU7:AU13" si="6">AS7+AT7</f>
        <v>49755</v>
      </c>
      <c r="AV7" s="377">
        <f>AJ7+AU7</f>
        <v>726675</v>
      </c>
    </row>
    <row r="8" spans="1:48" x14ac:dyDescent="0.25">
      <c r="A8" s="4">
        <v>2</v>
      </c>
      <c r="B8" s="323" t="s">
        <v>4</v>
      </c>
      <c r="C8" s="55">
        <v>1</v>
      </c>
      <c r="D8" s="56">
        <v>15</v>
      </c>
      <c r="E8" s="45">
        <f t="shared" si="0"/>
        <v>341</v>
      </c>
      <c r="F8" s="57">
        <v>341</v>
      </c>
      <c r="G8" s="46"/>
      <c r="H8" s="46"/>
      <c r="I8" s="46"/>
      <c r="J8" s="47"/>
      <c r="K8" s="48">
        <f t="shared" ref="K8:K26" si="7">C8*$C$6</f>
        <v>33000</v>
      </c>
      <c r="L8" s="49">
        <f t="shared" ref="L8:L26" si="8">D8*$D$6</f>
        <v>104880</v>
      </c>
      <c r="M8" s="50">
        <f t="shared" ref="M8:M26" si="9">F8*$F$6</f>
        <v>467170</v>
      </c>
      <c r="N8" s="51">
        <f t="shared" ref="N8:N26" si="10">SUM(K8:M8)*$N$6</f>
        <v>10285.85</v>
      </c>
      <c r="O8" s="52">
        <f t="shared" ref="O8:O26" si="11">SUM(K8:N8)</f>
        <v>615335.85</v>
      </c>
      <c r="P8" s="96">
        <v>606988</v>
      </c>
      <c r="Q8" s="50">
        <v>1400</v>
      </c>
      <c r="R8" s="50"/>
      <c r="S8" s="53">
        <v>6101</v>
      </c>
      <c r="T8" s="54">
        <f t="shared" ref="T8:T26" si="12">SUM(P8:S8)</f>
        <v>614489</v>
      </c>
      <c r="U8" s="178">
        <f t="shared" si="1"/>
        <v>0</v>
      </c>
      <c r="V8" s="178"/>
      <c r="W8" s="178"/>
      <c r="X8" s="179"/>
      <c r="Y8" s="179"/>
      <c r="Z8" s="180"/>
      <c r="AA8" s="181">
        <f t="shared" ref="AA8:AA26" si="13">F8*$AA$6</f>
        <v>8525</v>
      </c>
      <c r="AB8" s="182"/>
      <c r="AC8" s="182">
        <f t="shared" si="2"/>
        <v>0</v>
      </c>
      <c r="AD8" s="4">
        <v>341</v>
      </c>
      <c r="AE8" s="183">
        <f t="shared" si="3"/>
        <v>24552</v>
      </c>
      <c r="AF8" s="183"/>
      <c r="AG8" s="50"/>
      <c r="AH8" s="184"/>
      <c r="AI8" s="75"/>
      <c r="AJ8" s="246">
        <f t="shared" ref="AJ8:AJ26" si="14">Z8+Y8+W8+V8+U8+T8+AA8+AC8+AE8+AH8+AI8+X8</f>
        <v>647566</v>
      </c>
      <c r="AK8" s="272">
        <v>5</v>
      </c>
      <c r="AL8" s="273">
        <f t="shared" ref="AL8:AL26" si="15">AK8*$AL$6</f>
        <v>7430</v>
      </c>
      <c r="AM8" s="307">
        <v>341</v>
      </c>
      <c r="AN8" s="308">
        <v>0.39002932551319647</v>
      </c>
      <c r="AO8" s="299">
        <v>133</v>
      </c>
      <c r="AP8" s="274">
        <f t="shared" si="4"/>
        <v>77406</v>
      </c>
      <c r="AQ8" s="275">
        <f t="shared" ref="AQ8:AQ26" si="16">(AL8+AP8)*$AQ$6</f>
        <v>1442.2120000000002</v>
      </c>
      <c r="AR8" s="276">
        <f t="shared" si="5"/>
        <v>86278.212</v>
      </c>
      <c r="AS8" s="277">
        <v>78342</v>
      </c>
      <c r="AT8" s="275">
        <v>6708</v>
      </c>
      <c r="AU8" s="318">
        <f t="shared" si="6"/>
        <v>85050</v>
      </c>
      <c r="AV8" s="377">
        <f t="shared" ref="AV8:AV26" si="17">AJ8+AU8</f>
        <v>732616</v>
      </c>
    </row>
    <row r="9" spans="1:48" x14ac:dyDescent="0.25">
      <c r="A9" s="4">
        <v>3</v>
      </c>
      <c r="B9" s="323" t="s">
        <v>5</v>
      </c>
      <c r="C9" s="55">
        <v>1</v>
      </c>
      <c r="D9" s="56">
        <v>21</v>
      </c>
      <c r="E9" s="45">
        <f t="shared" si="0"/>
        <v>471</v>
      </c>
      <c r="F9" s="57">
        <v>470</v>
      </c>
      <c r="G9" s="46">
        <v>1</v>
      </c>
      <c r="H9" s="46"/>
      <c r="I9" s="46"/>
      <c r="J9" s="47"/>
      <c r="K9" s="48">
        <f t="shared" si="7"/>
        <v>33000</v>
      </c>
      <c r="L9" s="49">
        <f t="shared" si="8"/>
        <v>146832</v>
      </c>
      <c r="M9" s="50">
        <f t="shared" si="9"/>
        <v>643900</v>
      </c>
      <c r="N9" s="51">
        <f t="shared" si="10"/>
        <v>14003.444000000001</v>
      </c>
      <c r="O9" s="52">
        <f t="shared" si="11"/>
        <v>837735.44400000002</v>
      </c>
      <c r="P9" s="96">
        <v>826371</v>
      </c>
      <c r="Q9" s="50"/>
      <c r="R9" s="50"/>
      <c r="S9" s="53">
        <v>8409</v>
      </c>
      <c r="T9" s="54">
        <f t="shared" si="12"/>
        <v>834780</v>
      </c>
      <c r="U9" s="178">
        <f>G9*$G$6</f>
        <v>3592</v>
      </c>
      <c r="V9" s="178"/>
      <c r="W9" s="178"/>
      <c r="X9" s="179"/>
      <c r="Y9" s="179"/>
      <c r="Z9" s="180"/>
      <c r="AA9" s="181">
        <f t="shared" si="13"/>
        <v>11750</v>
      </c>
      <c r="AB9" s="182"/>
      <c r="AC9" s="182">
        <f t="shared" si="2"/>
        <v>0</v>
      </c>
      <c r="AD9" s="186">
        <v>311</v>
      </c>
      <c r="AE9" s="183">
        <f t="shared" si="3"/>
        <v>22392</v>
      </c>
      <c r="AF9" s="183"/>
      <c r="AG9" s="50"/>
      <c r="AH9" s="184"/>
      <c r="AI9" s="75"/>
      <c r="AJ9" s="246">
        <f t="shared" si="14"/>
        <v>872514</v>
      </c>
      <c r="AK9" s="272">
        <v>12</v>
      </c>
      <c r="AL9" s="273">
        <f t="shared" si="15"/>
        <v>17832</v>
      </c>
      <c r="AM9" s="307">
        <f>311+159</f>
        <v>470</v>
      </c>
      <c r="AN9" s="308">
        <v>0.6574468085106383</v>
      </c>
      <c r="AO9" s="299">
        <v>309</v>
      </c>
      <c r="AP9" s="274">
        <f t="shared" si="4"/>
        <v>179838</v>
      </c>
      <c r="AQ9" s="275">
        <f t="shared" si="16"/>
        <v>3360.3900000000003</v>
      </c>
      <c r="AR9" s="276">
        <f t="shared" si="5"/>
        <v>201030.39</v>
      </c>
      <c r="AS9" s="277">
        <v>182012</v>
      </c>
      <c r="AT9" s="275">
        <v>27275</v>
      </c>
      <c r="AU9" s="318">
        <f t="shared" si="6"/>
        <v>209287</v>
      </c>
      <c r="AV9" s="377">
        <f t="shared" si="17"/>
        <v>1081801</v>
      </c>
    </row>
    <row r="10" spans="1:48" x14ac:dyDescent="0.25">
      <c r="A10" s="4">
        <v>4</v>
      </c>
      <c r="B10" s="323" t="s">
        <v>6</v>
      </c>
      <c r="C10" s="55">
        <v>1</v>
      </c>
      <c r="D10" s="56">
        <v>30</v>
      </c>
      <c r="E10" s="45">
        <f t="shared" si="0"/>
        <v>723</v>
      </c>
      <c r="F10" s="57">
        <v>723</v>
      </c>
      <c r="G10" s="46"/>
      <c r="H10" s="46"/>
      <c r="I10" s="46"/>
      <c r="J10" s="47"/>
      <c r="K10" s="48">
        <f t="shared" si="7"/>
        <v>33000</v>
      </c>
      <c r="L10" s="49">
        <f t="shared" si="8"/>
        <v>209760</v>
      </c>
      <c r="M10" s="50">
        <f t="shared" si="9"/>
        <v>990510</v>
      </c>
      <c r="N10" s="51">
        <f t="shared" si="10"/>
        <v>20965.59</v>
      </c>
      <c r="O10" s="52">
        <f t="shared" si="11"/>
        <v>1254235.5900000001</v>
      </c>
      <c r="P10" s="96">
        <v>1237221</v>
      </c>
      <c r="Q10" s="50">
        <v>1400</v>
      </c>
      <c r="R10" s="50"/>
      <c r="S10" s="53">
        <v>12936</v>
      </c>
      <c r="T10" s="54">
        <f t="shared" si="12"/>
        <v>1251557</v>
      </c>
      <c r="U10" s="178">
        <f t="shared" ref="U10:U26" si="18">G10*$G$6</f>
        <v>0</v>
      </c>
      <c r="V10" s="178"/>
      <c r="W10" s="178"/>
      <c r="X10" s="179"/>
      <c r="Y10" s="179"/>
      <c r="Z10" s="180"/>
      <c r="AA10" s="181">
        <f t="shared" si="13"/>
        <v>18075</v>
      </c>
      <c r="AB10" s="182"/>
      <c r="AC10" s="182">
        <f t="shared" si="2"/>
        <v>0</v>
      </c>
      <c r="AD10" s="186">
        <v>415</v>
      </c>
      <c r="AE10" s="183">
        <f t="shared" si="3"/>
        <v>29880</v>
      </c>
      <c r="AF10" s="183"/>
      <c r="AG10" s="50"/>
      <c r="AH10" s="184"/>
      <c r="AI10" s="75"/>
      <c r="AJ10" s="246">
        <f t="shared" si="14"/>
        <v>1299512</v>
      </c>
      <c r="AK10" s="272">
        <v>8</v>
      </c>
      <c r="AL10" s="273">
        <f t="shared" si="15"/>
        <v>11888</v>
      </c>
      <c r="AM10" s="307">
        <f>415+308</f>
        <v>723</v>
      </c>
      <c r="AN10" s="308">
        <v>0.28907330567081607</v>
      </c>
      <c r="AO10" s="299">
        <v>209</v>
      </c>
      <c r="AP10" s="274">
        <f t="shared" si="4"/>
        <v>121638</v>
      </c>
      <c r="AQ10" s="275">
        <f t="shared" si="16"/>
        <v>2269.942</v>
      </c>
      <c r="AR10" s="276">
        <f t="shared" si="5"/>
        <v>135795.94200000001</v>
      </c>
      <c r="AS10" s="277">
        <v>123109</v>
      </c>
      <c r="AT10" s="275">
        <v>7906</v>
      </c>
      <c r="AU10" s="318">
        <f t="shared" si="6"/>
        <v>131015</v>
      </c>
      <c r="AV10" s="377">
        <f t="shared" si="17"/>
        <v>1430527</v>
      </c>
    </row>
    <row r="11" spans="1:48" x14ac:dyDescent="0.25">
      <c r="A11" s="4">
        <v>5</v>
      </c>
      <c r="B11" s="323" t="s">
        <v>7</v>
      </c>
      <c r="C11" s="55">
        <v>1</v>
      </c>
      <c r="D11" s="56">
        <v>7</v>
      </c>
      <c r="E11" s="45">
        <f t="shared" si="0"/>
        <v>171</v>
      </c>
      <c r="F11" s="57">
        <v>153</v>
      </c>
      <c r="G11" s="57">
        <v>1</v>
      </c>
      <c r="H11" s="57">
        <v>17</v>
      </c>
      <c r="I11" s="57"/>
      <c r="J11" s="58"/>
      <c r="K11" s="48">
        <f t="shared" si="7"/>
        <v>33000</v>
      </c>
      <c r="L11" s="49">
        <f t="shared" si="8"/>
        <v>48944</v>
      </c>
      <c r="M11" s="50">
        <f t="shared" si="9"/>
        <v>209610</v>
      </c>
      <c r="N11" s="51">
        <f t="shared" si="10"/>
        <v>4956.4180000000006</v>
      </c>
      <c r="O11" s="52">
        <f t="shared" si="11"/>
        <v>296510.41800000001</v>
      </c>
      <c r="P11" s="96">
        <v>292489</v>
      </c>
      <c r="Q11" s="50"/>
      <c r="R11" s="50"/>
      <c r="S11" s="53">
        <v>2737</v>
      </c>
      <c r="T11" s="54">
        <f t="shared" si="12"/>
        <v>295226</v>
      </c>
      <c r="U11" s="178">
        <f t="shared" si="18"/>
        <v>3592</v>
      </c>
      <c r="V11" s="178"/>
      <c r="W11" s="178"/>
      <c r="X11" s="179"/>
      <c r="Y11" s="179"/>
      <c r="Z11" s="180"/>
      <c r="AA11" s="181">
        <f t="shared" si="13"/>
        <v>3825</v>
      </c>
      <c r="AB11" s="182"/>
      <c r="AC11" s="182">
        <f t="shared" si="2"/>
        <v>0</v>
      </c>
      <c r="AD11" s="186">
        <v>83</v>
      </c>
      <c r="AE11" s="183">
        <f t="shared" si="3"/>
        <v>5976</v>
      </c>
      <c r="AF11" s="183"/>
      <c r="AG11" s="50"/>
      <c r="AH11" s="184"/>
      <c r="AI11" s="75"/>
      <c r="AJ11" s="246">
        <f t="shared" si="14"/>
        <v>308619</v>
      </c>
      <c r="AK11" s="272">
        <v>7</v>
      </c>
      <c r="AL11" s="273">
        <f t="shared" si="15"/>
        <v>10402</v>
      </c>
      <c r="AM11" s="307">
        <f>83+70</f>
        <v>153</v>
      </c>
      <c r="AN11" s="308">
        <v>0.94771241830065356</v>
      </c>
      <c r="AO11" s="299">
        <v>145</v>
      </c>
      <c r="AP11" s="274">
        <f t="shared" si="4"/>
        <v>84390</v>
      </c>
      <c r="AQ11" s="275">
        <f t="shared" si="16"/>
        <v>1611.4640000000002</v>
      </c>
      <c r="AR11" s="276">
        <f t="shared" si="5"/>
        <v>96403.464000000007</v>
      </c>
      <c r="AS11" s="277">
        <v>85410</v>
      </c>
      <c r="AT11" s="275">
        <v>18284</v>
      </c>
      <c r="AU11" s="318">
        <f t="shared" si="6"/>
        <v>103694</v>
      </c>
      <c r="AV11" s="377">
        <f t="shared" si="17"/>
        <v>412313</v>
      </c>
    </row>
    <row r="12" spans="1:48" x14ac:dyDescent="0.25">
      <c r="A12" s="4">
        <v>6</v>
      </c>
      <c r="B12" s="323" t="s">
        <v>8</v>
      </c>
      <c r="C12" s="55">
        <v>1</v>
      </c>
      <c r="D12" s="56">
        <v>47</v>
      </c>
      <c r="E12" s="45">
        <f t="shared" si="0"/>
        <v>1114</v>
      </c>
      <c r="F12" s="57">
        <v>1111</v>
      </c>
      <c r="G12" s="57">
        <v>3</v>
      </c>
      <c r="H12" s="57"/>
      <c r="I12" s="57"/>
      <c r="J12" s="58"/>
      <c r="K12" s="48">
        <f t="shared" si="7"/>
        <v>33000</v>
      </c>
      <c r="L12" s="49">
        <f t="shared" si="8"/>
        <v>328624</v>
      </c>
      <c r="M12" s="50">
        <f t="shared" si="9"/>
        <v>1522070</v>
      </c>
      <c r="N12" s="51">
        <f t="shared" si="10"/>
        <v>32022.798000000003</v>
      </c>
      <c r="O12" s="52">
        <f t="shared" si="11"/>
        <v>1915716.798</v>
      </c>
      <c r="P12" s="96">
        <v>1889729</v>
      </c>
      <c r="Q12" s="50"/>
      <c r="R12" s="50"/>
      <c r="S12" s="53">
        <v>19877</v>
      </c>
      <c r="T12" s="54">
        <f t="shared" si="12"/>
        <v>1909606</v>
      </c>
      <c r="U12" s="178">
        <f t="shared" si="18"/>
        <v>10776</v>
      </c>
      <c r="V12" s="178"/>
      <c r="W12" s="178"/>
      <c r="X12" s="179"/>
      <c r="Y12" s="179"/>
      <c r="Z12" s="180"/>
      <c r="AA12" s="181">
        <f t="shared" si="13"/>
        <v>27775</v>
      </c>
      <c r="AB12" s="182"/>
      <c r="AC12" s="182">
        <f t="shared" si="2"/>
        <v>0</v>
      </c>
      <c r="AD12" s="186">
        <v>371</v>
      </c>
      <c r="AE12" s="183">
        <f t="shared" si="3"/>
        <v>26712</v>
      </c>
      <c r="AF12" s="126">
        <v>366</v>
      </c>
      <c r="AG12" s="448"/>
      <c r="AH12" s="184">
        <f>AF12*$AH$6</f>
        <v>31842</v>
      </c>
      <c r="AI12" s="75"/>
      <c r="AJ12" s="246">
        <f t="shared" si="14"/>
        <v>2006711</v>
      </c>
      <c r="AK12" s="272">
        <v>9</v>
      </c>
      <c r="AL12" s="273">
        <f t="shared" si="15"/>
        <v>13374</v>
      </c>
      <c r="AM12" s="307">
        <f>371+374</f>
        <v>745</v>
      </c>
      <c r="AN12" s="308">
        <v>0.26174496644295303</v>
      </c>
      <c r="AO12" s="299">
        <v>195</v>
      </c>
      <c r="AP12" s="274">
        <f t="shared" si="4"/>
        <v>113490</v>
      </c>
      <c r="AQ12" s="275">
        <f t="shared" si="16"/>
        <v>2156.6880000000001</v>
      </c>
      <c r="AR12" s="276">
        <f t="shared" si="5"/>
        <v>129020.68799999999</v>
      </c>
      <c r="AS12" s="277">
        <v>114862</v>
      </c>
      <c r="AT12" s="275">
        <v>7377</v>
      </c>
      <c r="AU12" s="318">
        <f t="shared" si="6"/>
        <v>122239</v>
      </c>
      <c r="AV12" s="377">
        <f t="shared" si="17"/>
        <v>2128950</v>
      </c>
    </row>
    <row r="13" spans="1:48" x14ac:dyDescent="0.25">
      <c r="A13" s="4">
        <v>7</v>
      </c>
      <c r="B13" s="323" t="s">
        <v>9</v>
      </c>
      <c r="C13" s="55">
        <v>1</v>
      </c>
      <c r="D13" s="56">
        <v>44</v>
      </c>
      <c r="E13" s="45">
        <f t="shared" si="0"/>
        <v>1149</v>
      </c>
      <c r="F13" s="57">
        <v>1144</v>
      </c>
      <c r="G13" s="57">
        <v>3</v>
      </c>
      <c r="H13" s="57">
        <v>2</v>
      </c>
      <c r="I13" s="57"/>
      <c r="J13" s="58"/>
      <c r="K13" s="48">
        <f t="shared" si="7"/>
        <v>33000</v>
      </c>
      <c r="L13" s="49">
        <f t="shared" si="8"/>
        <v>307648</v>
      </c>
      <c r="M13" s="50">
        <f t="shared" si="9"/>
        <v>1567280</v>
      </c>
      <c r="N13" s="51">
        <f t="shared" si="10"/>
        <v>32434.776000000002</v>
      </c>
      <c r="O13" s="52">
        <f t="shared" si="11"/>
        <v>1940362.7760000001</v>
      </c>
      <c r="P13" s="96">
        <v>1914040</v>
      </c>
      <c r="Q13" s="50"/>
      <c r="R13" s="50">
        <v>1632</v>
      </c>
      <c r="S13" s="53">
        <v>20468</v>
      </c>
      <c r="T13" s="54">
        <f t="shared" si="12"/>
        <v>1936140</v>
      </c>
      <c r="U13" s="178">
        <f t="shared" si="18"/>
        <v>10776</v>
      </c>
      <c r="V13" s="178"/>
      <c r="W13" s="178"/>
      <c r="X13" s="179"/>
      <c r="Y13" s="179"/>
      <c r="Z13" s="180"/>
      <c r="AA13" s="181">
        <f t="shared" si="13"/>
        <v>28600</v>
      </c>
      <c r="AB13" s="182">
        <v>1</v>
      </c>
      <c r="AC13" s="182">
        <f>AB13*AC6</f>
        <v>1009</v>
      </c>
      <c r="AD13" s="186">
        <v>453</v>
      </c>
      <c r="AE13" s="183">
        <f t="shared" si="3"/>
        <v>32616</v>
      </c>
      <c r="AF13" s="126">
        <v>445</v>
      </c>
      <c r="AG13" s="448"/>
      <c r="AH13" s="184">
        <f>AF13*$AH$6</f>
        <v>38715</v>
      </c>
      <c r="AI13" s="75"/>
      <c r="AJ13" s="246">
        <f t="shared" si="14"/>
        <v>2047856</v>
      </c>
      <c r="AK13" s="272">
        <v>9</v>
      </c>
      <c r="AL13" s="273">
        <f t="shared" si="15"/>
        <v>13374</v>
      </c>
      <c r="AM13" s="307">
        <f>453+564</f>
        <v>1017</v>
      </c>
      <c r="AN13" s="308">
        <v>0.1887905604719764</v>
      </c>
      <c r="AO13" s="299">
        <v>192</v>
      </c>
      <c r="AP13" s="274">
        <f t="shared" si="4"/>
        <v>111744</v>
      </c>
      <c r="AQ13" s="275">
        <f t="shared" si="16"/>
        <v>2127.0060000000003</v>
      </c>
      <c r="AR13" s="276">
        <f t="shared" si="5"/>
        <v>127245.00599999999</v>
      </c>
      <c r="AS13" s="277">
        <v>113095</v>
      </c>
      <c r="AT13" s="275">
        <v>4842</v>
      </c>
      <c r="AU13" s="318">
        <f t="shared" si="6"/>
        <v>117937</v>
      </c>
      <c r="AV13" s="377">
        <f t="shared" si="17"/>
        <v>2165793</v>
      </c>
    </row>
    <row r="14" spans="1:48" x14ac:dyDescent="0.25">
      <c r="A14" s="4"/>
      <c r="B14" s="323" t="s">
        <v>10</v>
      </c>
      <c r="C14" s="55"/>
      <c r="D14" s="59">
        <v>14</v>
      </c>
      <c r="E14" s="45">
        <f t="shared" si="0"/>
        <v>317</v>
      </c>
      <c r="F14" s="57"/>
      <c r="G14" s="57"/>
      <c r="H14" s="57"/>
      <c r="I14" s="57"/>
      <c r="J14" s="58">
        <v>317</v>
      </c>
      <c r="K14" s="48">
        <f t="shared" si="7"/>
        <v>0</v>
      </c>
      <c r="L14" s="49"/>
      <c r="M14" s="50">
        <f t="shared" si="9"/>
        <v>0</v>
      </c>
      <c r="N14" s="51">
        <f t="shared" si="10"/>
        <v>0</v>
      </c>
      <c r="O14" s="52">
        <f t="shared" si="11"/>
        <v>0</v>
      </c>
      <c r="P14" s="96">
        <f>O14*$P$6</f>
        <v>0</v>
      </c>
      <c r="Q14" s="50"/>
      <c r="R14" s="50"/>
      <c r="S14" s="53">
        <f t="shared" ref="S14" si="19">F14*$S$6</f>
        <v>0</v>
      </c>
      <c r="T14" s="54">
        <f t="shared" si="12"/>
        <v>0</v>
      </c>
      <c r="U14" s="178">
        <f t="shared" si="18"/>
        <v>0</v>
      </c>
      <c r="V14" s="178"/>
      <c r="W14" s="178"/>
      <c r="X14" s="179">
        <f>D14*D6</f>
        <v>97888</v>
      </c>
      <c r="Y14" s="179">
        <f>J14*$J$6</f>
        <v>723394</v>
      </c>
      <c r="Z14" s="180">
        <f>(Y14+X14)*0.017</f>
        <v>13961.794000000002</v>
      </c>
      <c r="AA14" s="181">
        <f>(F14+J14)*$AA$6</f>
        <v>7925</v>
      </c>
      <c r="AB14" s="182"/>
      <c r="AC14" s="182"/>
      <c r="AD14" s="186"/>
      <c r="AE14" s="183">
        <f t="shared" si="3"/>
        <v>0</v>
      </c>
      <c r="AF14" s="126"/>
      <c r="AG14" s="448"/>
      <c r="AH14" s="184"/>
      <c r="AI14" s="75"/>
      <c r="AJ14" s="246">
        <f t="shared" si="14"/>
        <v>843168.79399999999</v>
      </c>
      <c r="AK14" s="272"/>
      <c r="AL14" s="273">
        <f t="shared" si="15"/>
        <v>0</v>
      </c>
      <c r="AM14" s="307"/>
      <c r="AN14" s="308"/>
      <c r="AO14" s="299"/>
      <c r="AP14" s="274">
        <f t="shared" si="4"/>
        <v>0</v>
      </c>
      <c r="AQ14" s="275">
        <f t="shared" si="16"/>
        <v>0</v>
      </c>
      <c r="AR14" s="276">
        <f t="shared" si="5"/>
        <v>0</v>
      </c>
      <c r="AS14" s="277">
        <f>$AS$6*AO14</f>
        <v>0</v>
      </c>
      <c r="AT14" s="275">
        <f>$BB$7*AO14*BB14</f>
        <v>0</v>
      </c>
      <c r="AU14" s="318"/>
      <c r="AV14" s="377">
        <f t="shared" si="17"/>
        <v>843168.79399999999</v>
      </c>
    </row>
    <row r="15" spans="1:48" x14ac:dyDescent="0.25">
      <c r="A15" s="4">
        <v>8</v>
      </c>
      <c r="B15" s="323" t="s">
        <v>11</v>
      </c>
      <c r="C15" s="55">
        <v>1</v>
      </c>
      <c r="D15" s="56">
        <v>23</v>
      </c>
      <c r="E15" s="45">
        <f t="shared" si="0"/>
        <v>558</v>
      </c>
      <c r="F15" s="57">
        <v>465</v>
      </c>
      <c r="G15" s="57">
        <v>3</v>
      </c>
      <c r="H15" s="57">
        <v>29</v>
      </c>
      <c r="I15" s="57">
        <v>61</v>
      </c>
      <c r="J15" s="58"/>
      <c r="K15" s="48">
        <f t="shared" si="7"/>
        <v>33000</v>
      </c>
      <c r="L15" s="49">
        <f t="shared" si="8"/>
        <v>160816</v>
      </c>
      <c r="M15" s="50">
        <f t="shared" si="9"/>
        <v>637050</v>
      </c>
      <c r="N15" s="51">
        <f t="shared" si="10"/>
        <v>14124.722000000002</v>
      </c>
      <c r="O15" s="52">
        <f t="shared" si="11"/>
        <v>844990.72199999995</v>
      </c>
      <c r="P15" s="96">
        <v>833527</v>
      </c>
      <c r="Q15" s="50"/>
      <c r="R15" s="50"/>
      <c r="S15" s="53">
        <v>8320</v>
      </c>
      <c r="T15" s="54">
        <f t="shared" si="12"/>
        <v>841847</v>
      </c>
      <c r="U15" s="178">
        <f t="shared" si="18"/>
        <v>10776</v>
      </c>
      <c r="V15" s="178"/>
      <c r="W15" s="178">
        <f>I15*$I$6</f>
        <v>96868</v>
      </c>
      <c r="X15" s="179"/>
      <c r="Y15" s="179"/>
      <c r="Z15" s="180"/>
      <c r="AA15" s="181">
        <f t="shared" si="13"/>
        <v>11625</v>
      </c>
      <c r="AB15" s="182"/>
      <c r="AC15" s="182">
        <f t="shared" ref="AC15:AC20" si="20">AB15*$AD$7</f>
        <v>0</v>
      </c>
      <c r="AD15" s="186">
        <v>213</v>
      </c>
      <c r="AE15" s="183">
        <f t="shared" si="3"/>
        <v>15336</v>
      </c>
      <c r="AF15" s="126">
        <v>103</v>
      </c>
      <c r="AG15" s="448"/>
      <c r="AH15" s="184">
        <f>AF15*$AH$6</f>
        <v>8961</v>
      </c>
      <c r="AI15" s="75"/>
      <c r="AJ15" s="246">
        <f t="shared" si="14"/>
        <v>985413</v>
      </c>
      <c r="AK15" s="272">
        <v>9</v>
      </c>
      <c r="AL15" s="273">
        <f t="shared" si="15"/>
        <v>13374</v>
      </c>
      <c r="AM15" s="307">
        <f>213+150</f>
        <v>363</v>
      </c>
      <c r="AN15" s="308">
        <v>0.53994490358126723</v>
      </c>
      <c r="AO15" s="299">
        <v>196</v>
      </c>
      <c r="AP15" s="274">
        <f t="shared" si="4"/>
        <v>114072</v>
      </c>
      <c r="AQ15" s="275">
        <f t="shared" si="16"/>
        <v>2166.5820000000003</v>
      </c>
      <c r="AR15" s="276">
        <f t="shared" si="5"/>
        <v>129612.58199999999</v>
      </c>
      <c r="AS15" s="277">
        <v>115450</v>
      </c>
      <c r="AT15" s="275">
        <v>12358</v>
      </c>
      <c r="AU15" s="318">
        <f>AS15+AT15</f>
        <v>127808</v>
      </c>
      <c r="AV15" s="377">
        <f t="shared" si="17"/>
        <v>1113221</v>
      </c>
    </row>
    <row r="16" spans="1:48" x14ac:dyDescent="0.25">
      <c r="A16" s="4">
        <v>9</v>
      </c>
      <c r="B16" s="323" t="s">
        <v>12</v>
      </c>
      <c r="C16" s="55">
        <v>1</v>
      </c>
      <c r="D16" s="56">
        <v>27</v>
      </c>
      <c r="E16" s="45">
        <f t="shared" si="0"/>
        <v>604</v>
      </c>
      <c r="F16" s="57">
        <v>602</v>
      </c>
      <c r="G16" s="57">
        <v>1</v>
      </c>
      <c r="H16" s="57">
        <v>1</v>
      </c>
      <c r="I16" s="57"/>
      <c r="J16" s="58"/>
      <c r="K16" s="48">
        <f t="shared" si="7"/>
        <v>33000</v>
      </c>
      <c r="L16" s="49">
        <f t="shared" si="8"/>
        <v>188784</v>
      </c>
      <c r="M16" s="50">
        <f t="shared" si="9"/>
        <v>824740</v>
      </c>
      <c r="N16" s="51">
        <f t="shared" si="10"/>
        <v>17790.908000000003</v>
      </c>
      <c r="O16" s="52">
        <f t="shared" si="11"/>
        <v>1064314.9080000001</v>
      </c>
      <c r="P16" s="96">
        <v>1049876</v>
      </c>
      <c r="Q16" s="50"/>
      <c r="R16" s="50"/>
      <c r="S16" s="53">
        <v>10771</v>
      </c>
      <c r="T16" s="54">
        <f t="shared" si="12"/>
        <v>1060647</v>
      </c>
      <c r="U16" s="178">
        <f t="shared" si="18"/>
        <v>3592</v>
      </c>
      <c r="V16" s="178"/>
      <c r="W16" s="178"/>
      <c r="X16" s="179"/>
      <c r="Y16" s="179"/>
      <c r="Z16" s="180"/>
      <c r="AA16" s="181">
        <f t="shared" si="13"/>
        <v>15050</v>
      </c>
      <c r="AB16" s="182"/>
      <c r="AC16" s="182">
        <f t="shared" si="20"/>
        <v>0</v>
      </c>
      <c r="AD16" s="186">
        <v>163</v>
      </c>
      <c r="AE16" s="183">
        <f t="shared" si="3"/>
        <v>11736</v>
      </c>
      <c r="AF16" s="126">
        <v>288</v>
      </c>
      <c r="AG16" s="448"/>
      <c r="AH16" s="184">
        <f>AF16*$AH$6</f>
        <v>25056</v>
      </c>
      <c r="AI16" s="75"/>
      <c r="AJ16" s="246">
        <f t="shared" si="14"/>
        <v>1116081</v>
      </c>
      <c r="AK16" s="272">
        <v>6</v>
      </c>
      <c r="AL16" s="273">
        <f t="shared" si="15"/>
        <v>8916</v>
      </c>
      <c r="AM16" s="307">
        <f>163+151</f>
        <v>314</v>
      </c>
      <c r="AN16" s="308">
        <v>0.42675159235668791</v>
      </c>
      <c r="AO16" s="299">
        <v>134</v>
      </c>
      <c r="AP16" s="274">
        <f t="shared" si="4"/>
        <v>77988</v>
      </c>
      <c r="AQ16" s="275">
        <f t="shared" si="16"/>
        <v>1477.3680000000002</v>
      </c>
      <c r="AR16" s="276">
        <f t="shared" si="5"/>
        <v>88381.368000000002</v>
      </c>
      <c r="AS16" s="277">
        <v>78930</v>
      </c>
      <c r="AT16" s="275">
        <v>6759</v>
      </c>
      <c r="AU16" s="318">
        <f>AS16+AT16</f>
        <v>85689</v>
      </c>
      <c r="AV16" s="377">
        <f t="shared" si="17"/>
        <v>1201770</v>
      </c>
    </row>
    <row r="17" spans="1:48" x14ac:dyDescent="0.25">
      <c r="A17" s="4">
        <v>10</v>
      </c>
      <c r="B17" s="323" t="s">
        <v>13</v>
      </c>
      <c r="C17" s="55">
        <v>1</v>
      </c>
      <c r="D17" s="56">
        <v>13</v>
      </c>
      <c r="E17" s="45">
        <f t="shared" si="0"/>
        <v>325</v>
      </c>
      <c r="F17" s="57">
        <v>283</v>
      </c>
      <c r="G17" s="57">
        <v>1</v>
      </c>
      <c r="H17" s="57">
        <v>41</v>
      </c>
      <c r="I17" s="57"/>
      <c r="J17" s="58"/>
      <c r="K17" s="48">
        <f t="shared" si="7"/>
        <v>33000</v>
      </c>
      <c r="L17" s="49">
        <f t="shared" si="8"/>
        <v>90896</v>
      </c>
      <c r="M17" s="50">
        <f t="shared" si="9"/>
        <v>387710</v>
      </c>
      <c r="N17" s="51">
        <f t="shared" si="10"/>
        <v>8697.3020000000015</v>
      </c>
      <c r="O17" s="52">
        <f t="shared" si="11"/>
        <v>520303.30200000003</v>
      </c>
      <c r="P17" s="96">
        <v>513245</v>
      </c>
      <c r="Q17" s="50"/>
      <c r="R17" s="50"/>
      <c r="S17" s="53">
        <v>5063</v>
      </c>
      <c r="T17" s="54">
        <f t="shared" si="12"/>
        <v>518308</v>
      </c>
      <c r="U17" s="178">
        <f t="shared" si="18"/>
        <v>3592</v>
      </c>
      <c r="V17" s="178"/>
      <c r="W17" s="178"/>
      <c r="X17" s="179"/>
      <c r="Y17" s="179"/>
      <c r="Z17" s="180"/>
      <c r="AA17" s="181">
        <f t="shared" si="13"/>
        <v>7075</v>
      </c>
      <c r="AB17" s="182"/>
      <c r="AC17" s="182">
        <f t="shared" si="20"/>
        <v>0</v>
      </c>
      <c r="AD17" s="186">
        <v>100</v>
      </c>
      <c r="AE17" s="183">
        <f t="shared" si="3"/>
        <v>7200</v>
      </c>
      <c r="AF17" s="126">
        <v>100</v>
      </c>
      <c r="AG17" s="448"/>
      <c r="AH17" s="184">
        <f>AF17*$AH$6</f>
        <v>8700</v>
      </c>
      <c r="AI17" s="75"/>
      <c r="AJ17" s="246">
        <f t="shared" si="14"/>
        <v>544875</v>
      </c>
      <c r="AK17" s="272">
        <v>3</v>
      </c>
      <c r="AL17" s="273">
        <f t="shared" si="15"/>
        <v>4458</v>
      </c>
      <c r="AM17" s="307">
        <f>100+83</f>
        <v>183</v>
      </c>
      <c r="AN17" s="308">
        <v>0.43169398907103823</v>
      </c>
      <c r="AO17" s="299">
        <v>79</v>
      </c>
      <c r="AP17" s="274">
        <f t="shared" si="4"/>
        <v>45978</v>
      </c>
      <c r="AQ17" s="275">
        <f t="shared" si="16"/>
        <v>857.41200000000003</v>
      </c>
      <c r="AR17" s="276">
        <f t="shared" si="5"/>
        <v>51293.411999999997</v>
      </c>
      <c r="AS17" s="277">
        <v>46533</v>
      </c>
      <c r="AT17" s="275">
        <v>3985</v>
      </c>
      <c r="AU17" s="318">
        <f>AS17+AT17</f>
        <v>50518</v>
      </c>
      <c r="AV17" s="377">
        <f t="shared" si="17"/>
        <v>595393</v>
      </c>
    </row>
    <row r="18" spans="1:48" x14ac:dyDescent="0.25">
      <c r="A18" s="4">
        <v>11</v>
      </c>
      <c r="B18" s="323" t="s">
        <v>14</v>
      </c>
      <c r="C18" s="55">
        <v>1</v>
      </c>
      <c r="D18" s="56">
        <v>31</v>
      </c>
      <c r="E18" s="45">
        <f t="shared" si="0"/>
        <v>802</v>
      </c>
      <c r="F18" s="57">
        <v>802</v>
      </c>
      <c r="G18" s="57"/>
      <c r="H18" s="57"/>
      <c r="I18" s="57"/>
      <c r="J18" s="58"/>
      <c r="K18" s="48">
        <f t="shared" si="7"/>
        <v>33000</v>
      </c>
      <c r="L18" s="49">
        <f t="shared" si="8"/>
        <v>216752</v>
      </c>
      <c r="M18" s="50">
        <f t="shared" si="9"/>
        <v>1098740</v>
      </c>
      <c r="N18" s="51">
        <f t="shared" si="10"/>
        <v>22924.364000000001</v>
      </c>
      <c r="O18" s="52">
        <f t="shared" si="11"/>
        <v>1371416.3640000001</v>
      </c>
      <c r="P18" s="96">
        <v>1352812</v>
      </c>
      <c r="Q18" s="50"/>
      <c r="R18" s="50">
        <v>7907</v>
      </c>
      <c r="S18" s="53">
        <v>14349</v>
      </c>
      <c r="T18" s="54">
        <f t="shared" si="12"/>
        <v>1375068</v>
      </c>
      <c r="U18" s="178">
        <f t="shared" si="18"/>
        <v>0</v>
      </c>
      <c r="V18" s="178"/>
      <c r="W18" s="178"/>
      <c r="X18" s="179"/>
      <c r="Y18" s="179"/>
      <c r="Z18" s="180"/>
      <c r="AA18" s="181">
        <f t="shared" si="13"/>
        <v>20050</v>
      </c>
      <c r="AB18" s="182"/>
      <c r="AC18" s="182">
        <f t="shared" si="20"/>
        <v>0</v>
      </c>
      <c r="AD18" s="186">
        <v>0</v>
      </c>
      <c r="AE18" s="183">
        <f t="shared" si="3"/>
        <v>0</v>
      </c>
      <c r="AF18" s="126">
        <v>645</v>
      </c>
      <c r="AG18" s="448"/>
      <c r="AH18" s="184">
        <f>AF18*$AH$6</f>
        <v>56115</v>
      </c>
      <c r="AI18" s="75"/>
      <c r="AJ18" s="246">
        <f t="shared" si="14"/>
        <v>1451233</v>
      </c>
      <c r="AK18" s="272"/>
      <c r="AL18" s="273">
        <f t="shared" si="15"/>
        <v>0</v>
      </c>
      <c r="AM18" s="307">
        <f>157+645</f>
        <v>802</v>
      </c>
      <c r="AN18" s="308"/>
      <c r="AO18" s="299"/>
      <c r="AP18" s="274">
        <f t="shared" si="4"/>
        <v>0</v>
      </c>
      <c r="AQ18" s="275">
        <f t="shared" si="16"/>
        <v>0</v>
      </c>
      <c r="AR18" s="276">
        <f t="shared" si="5"/>
        <v>0</v>
      </c>
      <c r="AS18" s="277">
        <f>$AS$6*AO18</f>
        <v>0</v>
      </c>
      <c r="AT18" s="275">
        <f>$BB$7*AO18*BB18</f>
        <v>0</v>
      </c>
      <c r="AU18" s="318"/>
      <c r="AV18" s="377">
        <f t="shared" si="17"/>
        <v>1451233</v>
      </c>
    </row>
    <row r="19" spans="1:48" x14ac:dyDescent="0.25">
      <c r="A19" s="4">
        <v>12</v>
      </c>
      <c r="B19" s="323" t="s">
        <v>15</v>
      </c>
      <c r="C19" s="55">
        <v>1</v>
      </c>
      <c r="D19" s="56">
        <v>28</v>
      </c>
      <c r="E19" s="60">
        <f t="shared" si="0"/>
        <v>668</v>
      </c>
      <c r="F19" s="57">
        <v>665</v>
      </c>
      <c r="G19" s="57"/>
      <c r="H19" s="57">
        <v>3</v>
      </c>
      <c r="I19" s="57"/>
      <c r="J19" s="58"/>
      <c r="K19" s="48">
        <f t="shared" si="7"/>
        <v>33000</v>
      </c>
      <c r="L19" s="49">
        <f t="shared" si="8"/>
        <v>195776</v>
      </c>
      <c r="M19" s="50">
        <f t="shared" si="9"/>
        <v>911050</v>
      </c>
      <c r="N19" s="51">
        <f t="shared" si="10"/>
        <v>19377.042000000001</v>
      </c>
      <c r="O19" s="52">
        <f t="shared" si="11"/>
        <v>1159203.0419999999</v>
      </c>
      <c r="P19" s="96">
        <v>1143477</v>
      </c>
      <c r="Q19" s="61"/>
      <c r="R19" s="61"/>
      <c r="S19" s="53">
        <v>11898</v>
      </c>
      <c r="T19" s="54">
        <f t="shared" si="12"/>
        <v>1155375</v>
      </c>
      <c r="U19" s="178">
        <f t="shared" si="18"/>
        <v>0</v>
      </c>
      <c r="V19" s="178"/>
      <c r="W19" s="178"/>
      <c r="X19" s="179"/>
      <c r="Y19" s="179"/>
      <c r="Z19" s="180"/>
      <c r="AA19" s="181">
        <f t="shared" si="13"/>
        <v>16625</v>
      </c>
      <c r="AB19" s="182"/>
      <c r="AC19" s="182">
        <f t="shared" si="20"/>
        <v>0</v>
      </c>
      <c r="AD19" s="186">
        <v>0</v>
      </c>
      <c r="AE19" s="183">
        <f t="shared" si="3"/>
        <v>0</v>
      </c>
      <c r="AF19" s="126">
        <v>665</v>
      </c>
      <c r="AG19" s="448"/>
      <c r="AH19" s="184">
        <f>AF19*$AH$6</f>
        <v>57855</v>
      </c>
      <c r="AI19" s="75"/>
      <c r="AJ19" s="246">
        <f t="shared" si="14"/>
        <v>1229855</v>
      </c>
      <c r="AK19" s="272"/>
      <c r="AL19" s="273">
        <f t="shared" si="15"/>
        <v>0</v>
      </c>
      <c r="AM19" s="307">
        <v>665</v>
      </c>
      <c r="AN19" s="308"/>
      <c r="AO19" s="299"/>
      <c r="AP19" s="274">
        <f t="shared" si="4"/>
        <v>0</v>
      </c>
      <c r="AQ19" s="275">
        <f t="shared" si="16"/>
        <v>0</v>
      </c>
      <c r="AR19" s="276">
        <f t="shared" si="5"/>
        <v>0</v>
      </c>
      <c r="AS19" s="277">
        <f>$AS$6*AO19</f>
        <v>0</v>
      </c>
      <c r="AT19" s="275">
        <f>$BB$7*AO19*BB19</f>
        <v>0</v>
      </c>
      <c r="AU19" s="318"/>
      <c r="AV19" s="377">
        <f t="shared" si="17"/>
        <v>1229855</v>
      </c>
    </row>
    <row r="20" spans="1:48" ht="15.75" thickBot="1" x14ac:dyDescent="0.3">
      <c r="A20" s="6">
        <v>13</v>
      </c>
      <c r="B20" s="324" t="s">
        <v>16</v>
      </c>
      <c r="C20" s="62">
        <v>1</v>
      </c>
      <c r="D20" s="56">
        <v>7</v>
      </c>
      <c r="E20" s="63">
        <f t="shared" si="0"/>
        <v>154</v>
      </c>
      <c r="F20" s="57">
        <v>125</v>
      </c>
      <c r="G20" s="57">
        <v>1</v>
      </c>
      <c r="H20" s="57">
        <v>28</v>
      </c>
      <c r="I20" s="57"/>
      <c r="J20" s="58"/>
      <c r="K20" s="48">
        <f t="shared" si="7"/>
        <v>33000</v>
      </c>
      <c r="L20" s="49">
        <f t="shared" si="8"/>
        <v>48944</v>
      </c>
      <c r="M20" s="50">
        <f t="shared" si="9"/>
        <v>171250</v>
      </c>
      <c r="N20" s="51">
        <f t="shared" si="10"/>
        <v>4304.2980000000007</v>
      </c>
      <c r="O20" s="52">
        <f t="shared" si="11"/>
        <v>257498.29800000001</v>
      </c>
      <c r="P20" s="96">
        <v>254006</v>
      </c>
      <c r="Q20" s="64"/>
      <c r="R20" s="64"/>
      <c r="S20" s="53">
        <v>2236</v>
      </c>
      <c r="T20" s="54">
        <f t="shared" si="12"/>
        <v>256242</v>
      </c>
      <c r="U20" s="178">
        <f t="shared" si="18"/>
        <v>3592</v>
      </c>
      <c r="V20" s="187"/>
      <c r="W20" s="187"/>
      <c r="X20" s="188"/>
      <c r="Y20" s="188"/>
      <c r="Z20" s="180"/>
      <c r="AA20" s="181">
        <f t="shared" si="13"/>
        <v>3125</v>
      </c>
      <c r="AB20" s="189"/>
      <c r="AC20" s="182">
        <f t="shared" si="20"/>
        <v>0</v>
      </c>
      <c r="AD20" s="190">
        <v>74</v>
      </c>
      <c r="AE20" s="183">
        <f t="shared" si="3"/>
        <v>5328</v>
      </c>
      <c r="AF20" s="191"/>
      <c r="AG20" s="64"/>
      <c r="AH20" s="192">
        <f t="shared" ref="AH20" si="21">AF20*$AL$7</f>
        <v>0</v>
      </c>
      <c r="AI20" s="193"/>
      <c r="AJ20" s="246">
        <f t="shared" si="14"/>
        <v>268287</v>
      </c>
      <c r="AK20" s="278">
        <v>4</v>
      </c>
      <c r="AL20" s="273">
        <f t="shared" si="15"/>
        <v>5944</v>
      </c>
      <c r="AM20" s="309">
        <f>74+51</f>
        <v>125</v>
      </c>
      <c r="AN20" s="310">
        <v>0.72799999999999998</v>
      </c>
      <c r="AO20" s="300">
        <v>91</v>
      </c>
      <c r="AP20" s="274">
        <f t="shared" si="4"/>
        <v>52962</v>
      </c>
      <c r="AQ20" s="275">
        <f t="shared" si="16"/>
        <v>1001.402</v>
      </c>
      <c r="AR20" s="276">
        <f t="shared" si="5"/>
        <v>59907.402000000002</v>
      </c>
      <c r="AS20" s="277">
        <v>53603</v>
      </c>
      <c r="AT20" s="275">
        <v>8032</v>
      </c>
      <c r="AU20" s="318">
        <f>AS20+AT20</f>
        <v>61635</v>
      </c>
      <c r="AV20" s="377">
        <f t="shared" si="17"/>
        <v>329922</v>
      </c>
    </row>
    <row r="21" spans="1:48" ht="14.25" customHeight="1" thickBot="1" x14ac:dyDescent="0.3">
      <c r="A21" s="826" t="s">
        <v>17</v>
      </c>
      <c r="B21" s="827"/>
      <c r="C21" s="65">
        <f t="shared" ref="C21:J21" si="22">SUM(C7:C20)</f>
        <v>13</v>
      </c>
      <c r="D21" s="66">
        <f t="shared" si="22"/>
        <v>323</v>
      </c>
      <c r="E21" s="67">
        <f t="shared" si="22"/>
        <v>7753</v>
      </c>
      <c r="F21" s="68">
        <f t="shared" si="22"/>
        <v>7240</v>
      </c>
      <c r="G21" s="68">
        <f t="shared" si="22"/>
        <v>14</v>
      </c>
      <c r="H21" s="68">
        <f t="shared" si="22"/>
        <v>121</v>
      </c>
      <c r="I21" s="68">
        <f t="shared" si="22"/>
        <v>61</v>
      </c>
      <c r="J21" s="69">
        <f t="shared" si="22"/>
        <v>317</v>
      </c>
      <c r="K21" s="70">
        <f>SUM(K7:K20)</f>
        <v>429000</v>
      </c>
      <c r="L21" s="71">
        <f>SUM(L7:L20)</f>
        <v>2160528</v>
      </c>
      <c r="M21" s="70">
        <f>SUM(M7:M20)</f>
        <v>9918800</v>
      </c>
      <c r="N21" s="71">
        <f>SUM(N7:N20)</f>
        <v>212641.576</v>
      </c>
      <c r="O21" s="72">
        <f>SUM(O7:O20)</f>
        <v>12720969.575999999</v>
      </c>
      <c r="P21" s="71">
        <f t="shared" ref="P21:AA21" si="23">SUM(P7:P20)</f>
        <v>12548400</v>
      </c>
      <c r="Q21" s="71">
        <f t="shared" si="23"/>
        <v>4200</v>
      </c>
      <c r="R21" s="71">
        <f t="shared" si="23"/>
        <v>9539</v>
      </c>
      <c r="S21" s="73">
        <f>SUM(S7:S20)</f>
        <v>129534</v>
      </c>
      <c r="T21" s="74">
        <f t="shared" si="23"/>
        <v>12691673</v>
      </c>
      <c r="U21" s="71">
        <f t="shared" si="23"/>
        <v>50288</v>
      </c>
      <c r="V21" s="194">
        <f t="shared" si="23"/>
        <v>0</v>
      </c>
      <c r="W21" s="71">
        <f t="shared" si="23"/>
        <v>96868</v>
      </c>
      <c r="X21" s="71">
        <f t="shared" si="23"/>
        <v>97888</v>
      </c>
      <c r="Y21" s="194">
        <f t="shared" si="23"/>
        <v>723394</v>
      </c>
      <c r="Z21" s="195">
        <f t="shared" si="23"/>
        <v>13961.794000000002</v>
      </c>
      <c r="AA21" s="196">
        <f t="shared" si="23"/>
        <v>188925</v>
      </c>
      <c r="AB21" s="197">
        <v>1</v>
      </c>
      <c r="AC21" s="197">
        <f>SUM(AC7:AC20)</f>
        <v>1009</v>
      </c>
      <c r="AD21" s="198">
        <f t="shared" ref="AD21:AJ21" si="24">SUM(AD7:AD20)</f>
        <v>2880</v>
      </c>
      <c r="AE21" s="195">
        <f t="shared" si="24"/>
        <v>207360</v>
      </c>
      <c r="AF21" s="199">
        <f>SUM(AF7:AF20)</f>
        <v>2612</v>
      </c>
      <c r="AG21" s="70"/>
      <c r="AH21" s="199">
        <f t="shared" si="24"/>
        <v>227244</v>
      </c>
      <c r="AI21" s="195">
        <f t="shared" si="24"/>
        <v>0</v>
      </c>
      <c r="AJ21" s="247">
        <f t="shared" si="24"/>
        <v>14298610.794</v>
      </c>
      <c r="AK21" s="279">
        <f t="shared" ref="AK21:AV21" si="25">SUM(AK7:AK20)</f>
        <v>75</v>
      </c>
      <c r="AL21" s="280">
        <f t="shared" si="25"/>
        <v>111450</v>
      </c>
      <c r="AM21" s="293">
        <f>SUM(AM7:AM20)</f>
        <v>6257</v>
      </c>
      <c r="AN21" s="294"/>
      <c r="AO21" s="292">
        <f t="shared" si="25"/>
        <v>1764</v>
      </c>
      <c r="AP21" s="280">
        <f t="shared" si="25"/>
        <v>1026648</v>
      </c>
      <c r="AQ21" s="280">
        <f t="shared" si="25"/>
        <v>19347.666000000005</v>
      </c>
      <c r="AR21" s="281">
        <f t="shared" si="25"/>
        <v>1157445.666</v>
      </c>
      <c r="AS21" s="282">
        <f t="shared" si="25"/>
        <v>1039058</v>
      </c>
      <c r="AT21" s="283">
        <f t="shared" si="25"/>
        <v>105569</v>
      </c>
      <c r="AU21" s="200">
        <f t="shared" si="25"/>
        <v>1144627</v>
      </c>
      <c r="AV21" s="247">
        <f t="shared" si="25"/>
        <v>15443237.794</v>
      </c>
    </row>
    <row r="22" spans="1:48" x14ac:dyDescent="0.25">
      <c r="A22" s="2">
        <v>14</v>
      </c>
      <c r="B22" s="322" t="s">
        <v>18</v>
      </c>
      <c r="C22" s="75">
        <v>1</v>
      </c>
      <c r="D22" s="56">
        <v>12</v>
      </c>
      <c r="E22" s="45">
        <f>SUM(F22:J22)</f>
        <v>230</v>
      </c>
      <c r="F22" s="57">
        <v>227</v>
      </c>
      <c r="G22" s="57">
        <v>3</v>
      </c>
      <c r="H22" s="57"/>
      <c r="I22" s="57"/>
      <c r="J22" s="58"/>
      <c r="K22" s="48">
        <f t="shared" si="7"/>
        <v>33000</v>
      </c>
      <c r="L22" s="49">
        <f t="shared" si="8"/>
        <v>83904</v>
      </c>
      <c r="M22" s="50">
        <f t="shared" si="9"/>
        <v>310990</v>
      </c>
      <c r="N22" s="51">
        <f t="shared" si="10"/>
        <v>7274.1980000000003</v>
      </c>
      <c r="O22" s="52">
        <f t="shared" si="11"/>
        <v>435168.19799999997</v>
      </c>
      <c r="P22" s="96">
        <v>429265</v>
      </c>
      <c r="Q22" s="50">
        <v>1400</v>
      </c>
      <c r="R22" s="50">
        <v>6463</v>
      </c>
      <c r="S22" s="53">
        <v>4061</v>
      </c>
      <c r="T22" s="54">
        <f t="shared" si="12"/>
        <v>441189</v>
      </c>
      <c r="U22" s="178">
        <f t="shared" si="18"/>
        <v>10776</v>
      </c>
      <c r="V22" s="51"/>
      <c r="W22" s="51"/>
      <c r="X22" s="182"/>
      <c r="Y22" s="182"/>
      <c r="Z22" s="180"/>
      <c r="AA22" s="181">
        <f t="shared" si="13"/>
        <v>5675</v>
      </c>
      <c r="AB22" s="182"/>
      <c r="AC22" s="182">
        <f>AB22*$AD$7</f>
        <v>0</v>
      </c>
      <c r="AD22" s="186">
        <v>121</v>
      </c>
      <c r="AE22" s="183">
        <f>AD22*$AE$6</f>
        <v>8712</v>
      </c>
      <c r="AF22" s="183"/>
      <c r="AG22" s="50"/>
      <c r="AH22" s="184"/>
      <c r="AI22" s="75"/>
      <c r="AJ22" s="246">
        <f t="shared" si="14"/>
        <v>466352</v>
      </c>
      <c r="AK22" s="272">
        <v>5</v>
      </c>
      <c r="AL22" s="273">
        <f t="shared" si="15"/>
        <v>7430</v>
      </c>
      <c r="AM22" s="311">
        <f>121+106</f>
        <v>227</v>
      </c>
      <c r="AN22" s="312">
        <v>0.48458149779735682</v>
      </c>
      <c r="AO22" s="299">
        <v>110</v>
      </c>
      <c r="AP22" s="274">
        <f>AO22*$AP$6</f>
        <v>64020</v>
      </c>
      <c r="AQ22" s="275">
        <f t="shared" si="16"/>
        <v>1214.6500000000001</v>
      </c>
      <c r="AR22" s="276">
        <f>AL22+AP22+AQ22</f>
        <v>72664.649999999994</v>
      </c>
      <c r="AS22" s="277">
        <v>64794</v>
      </c>
      <c r="AT22" s="275">
        <v>6935</v>
      </c>
      <c r="AU22" s="318">
        <f>AS22+AT22</f>
        <v>71729</v>
      </c>
      <c r="AV22" s="377">
        <f t="shared" si="17"/>
        <v>538081</v>
      </c>
    </row>
    <row r="23" spans="1:48" x14ac:dyDescent="0.25">
      <c r="A23" s="4">
        <v>15</v>
      </c>
      <c r="B23" s="322" t="s">
        <v>19</v>
      </c>
      <c r="C23" s="75">
        <v>1</v>
      </c>
      <c r="D23" s="44">
        <v>7</v>
      </c>
      <c r="E23" s="45">
        <f>SUM(F23:J23)</f>
        <v>83</v>
      </c>
      <c r="F23" s="46">
        <v>79</v>
      </c>
      <c r="G23" s="46">
        <v>1</v>
      </c>
      <c r="H23" s="46">
        <v>3</v>
      </c>
      <c r="I23" s="46"/>
      <c r="J23" s="47"/>
      <c r="K23" s="48">
        <f t="shared" si="7"/>
        <v>33000</v>
      </c>
      <c r="L23" s="49">
        <f t="shared" si="8"/>
        <v>48944</v>
      </c>
      <c r="M23" s="50">
        <f t="shared" si="9"/>
        <v>108230</v>
      </c>
      <c r="N23" s="51">
        <f t="shared" si="10"/>
        <v>3232.9580000000001</v>
      </c>
      <c r="O23" s="52">
        <f t="shared" si="11"/>
        <v>193406.95800000001</v>
      </c>
      <c r="P23" s="96">
        <v>190784</v>
      </c>
      <c r="Q23" s="50"/>
      <c r="R23" s="50"/>
      <c r="S23" s="53">
        <v>1413</v>
      </c>
      <c r="T23" s="54">
        <f t="shared" si="12"/>
        <v>192197</v>
      </c>
      <c r="U23" s="178">
        <f t="shared" si="18"/>
        <v>3592</v>
      </c>
      <c r="V23" s="178"/>
      <c r="W23" s="51"/>
      <c r="X23" s="182"/>
      <c r="Y23" s="182"/>
      <c r="Z23" s="180"/>
      <c r="AA23" s="181">
        <f t="shared" si="13"/>
        <v>1975</v>
      </c>
      <c r="AB23" s="182"/>
      <c r="AC23" s="182">
        <f>AB23*$AD$7</f>
        <v>0</v>
      </c>
      <c r="AD23" s="186">
        <v>41</v>
      </c>
      <c r="AE23" s="183">
        <f>AD23*$AE$6</f>
        <v>2952</v>
      </c>
      <c r="AF23" s="183"/>
      <c r="AG23" s="50"/>
      <c r="AH23" s="184"/>
      <c r="AI23" s="75"/>
      <c r="AJ23" s="246">
        <f t="shared" si="14"/>
        <v>200716</v>
      </c>
      <c r="AK23" s="272">
        <v>4</v>
      </c>
      <c r="AL23" s="273">
        <f t="shared" si="15"/>
        <v>5944</v>
      </c>
      <c r="AM23" s="307">
        <f>43+38</f>
        <v>81</v>
      </c>
      <c r="AN23" s="308">
        <v>0.97530864197530864</v>
      </c>
      <c r="AO23" s="299">
        <v>79</v>
      </c>
      <c r="AP23" s="274">
        <f>AO23*$AP$6</f>
        <v>45978</v>
      </c>
      <c r="AQ23" s="275">
        <f t="shared" si="16"/>
        <v>882.67400000000009</v>
      </c>
      <c r="AR23" s="276">
        <f>AL23+AP23+AQ23</f>
        <v>52804.673999999999</v>
      </c>
      <c r="AS23" s="277">
        <v>46534</v>
      </c>
      <c r="AT23" s="275">
        <v>9962</v>
      </c>
      <c r="AU23" s="318">
        <f>AS23+AT23</f>
        <v>56496</v>
      </c>
      <c r="AV23" s="377">
        <f t="shared" si="17"/>
        <v>257212</v>
      </c>
    </row>
    <row r="24" spans="1:48" x14ac:dyDescent="0.25">
      <c r="A24" s="4">
        <v>16</v>
      </c>
      <c r="B24" s="323" t="s">
        <v>20</v>
      </c>
      <c r="C24" s="76">
        <v>1</v>
      </c>
      <c r="D24" s="56">
        <v>7</v>
      </c>
      <c r="E24" s="45">
        <f>SUM(F24:J24)</f>
        <v>113</v>
      </c>
      <c r="F24" s="57">
        <v>113</v>
      </c>
      <c r="G24" s="57"/>
      <c r="H24" s="57"/>
      <c r="I24" s="57"/>
      <c r="J24" s="58"/>
      <c r="K24" s="48">
        <f t="shared" si="7"/>
        <v>33000</v>
      </c>
      <c r="L24" s="49">
        <f t="shared" si="8"/>
        <v>48944</v>
      </c>
      <c r="M24" s="50">
        <f t="shared" si="9"/>
        <v>154810</v>
      </c>
      <c r="N24" s="51">
        <f t="shared" si="10"/>
        <v>4024.8180000000002</v>
      </c>
      <c r="O24" s="52">
        <f t="shared" si="11"/>
        <v>240778.818</v>
      </c>
      <c r="P24" s="96">
        <v>237512</v>
      </c>
      <c r="Q24" s="50"/>
      <c r="R24" s="50">
        <v>14180</v>
      </c>
      <c r="S24" s="53">
        <v>2022</v>
      </c>
      <c r="T24" s="54">
        <f t="shared" si="12"/>
        <v>253714</v>
      </c>
      <c r="U24" s="178">
        <f t="shared" si="18"/>
        <v>0</v>
      </c>
      <c r="V24" s="178"/>
      <c r="W24" s="178"/>
      <c r="X24" s="179"/>
      <c r="Y24" s="179"/>
      <c r="Z24" s="180"/>
      <c r="AA24" s="181">
        <f t="shared" si="13"/>
        <v>2825</v>
      </c>
      <c r="AB24" s="182"/>
      <c r="AC24" s="182">
        <f>AB24*$AD$7</f>
        <v>0</v>
      </c>
      <c r="AD24" s="186">
        <v>66</v>
      </c>
      <c r="AE24" s="183">
        <f>AD24*$AE$6</f>
        <v>4752</v>
      </c>
      <c r="AF24" s="183"/>
      <c r="AG24" s="50"/>
      <c r="AH24" s="184"/>
      <c r="AI24" s="75"/>
      <c r="AJ24" s="246">
        <f t="shared" si="14"/>
        <v>261291</v>
      </c>
      <c r="AK24" s="272">
        <v>5</v>
      </c>
      <c r="AL24" s="273">
        <f t="shared" si="15"/>
        <v>7430</v>
      </c>
      <c r="AM24" s="307">
        <f>66+47</f>
        <v>113</v>
      </c>
      <c r="AN24" s="308">
        <v>1</v>
      </c>
      <c r="AO24" s="299">
        <v>113</v>
      </c>
      <c r="AP24" s="274">
        <f>AO24*$AP$6</f>
        <v>65766</v>
      </c>
      <c r="AQ24" s="275">
        <f t="shared" si="16"/>
        <v>1244.3320000000001</v>
      </c>
      <c r="AR24" s="276">
        <f>AL24+AP24+AQ24</f>
        <v>74440.331999999995</v>
      </c>
      <c r="AS24" s="277">
        <v>66561</v>
      </c>
      <c r="AT24" s="275">
        <v>14249</v>
      </c>
      <c r="AU24" s="318">
        <f>AS24+AT24</f>
        <v>80810</v>
      </c>
      <c r="AV24" s="377">
        <f t="shared" si="17"/>
        <v>342101</v>
      </c>
    </row>
    <row r="25" spans="1:48" x14ac:dyDescent="0.25">
      <c r="A25" s="4">
        <v>17</v>
      </c>
      <c r="B25" s="323" t="s">
        <v>21</v>
      </c>
      <c r="C25" s="76">
        <v>1</v>
      </c>
      <c r="D25" s="56">
        <v>7</v>
      </c>
      <c r="E25" s="45">
        <f>SUM(F25:J25)</f>
        <v>99</v>
      </c>
      <c r="F25" s="57">
        <v>99</v>
      </c>
      <c r="G25" s="57"/>
      <c r="H25" s="57"/>
      <c r="I25" s="57"/>
      <c r="J25" s="58"/>
      <c r="K25" s="48">
        <f t="shared" si="7"/>
        <v>33000</v>
      </c>
      <c r="L25" s="49">
        <f t="shared" si="8"/>
        <v>48944</v>
      </c>
      <c r="M25" s="50">
        <f t="shared" si="9"/>
        <v>135630</v>
      </c>
      <c r="N25" s="51">
        <f t="shared" si="10"/>
        <v>3698.7580000000003</v>
      </c>
      <c r="O25" s="52">
        <f t="shared" si="11"/>
        <v>221272.758</v>
      </c>
      <c r="P25" s="96">
        <v>218271</v>
      </c>
      <c r="Q25" s="50"/>
      <c r="R25" s="50"/>
      <c r="S25" s="53">
        <v>1771</v>
      </c>
      <c r="T25" s="54">
        <f t="shared" si="12"/>
        <v>220042</v>
      </c>
      <c r="U25" s="178">
        <f t="shared" si="18"/>
        <v>0</v>
      </c>
      <c r="V25" s="178"/>
      <c r="W25" s="178"/>
      <c r="X25" s="179"/>
      <c r="Y25" s="179"/>
      <c r="Z25" s="180"/>
      <c r="AA25" s="181">
        <f t="shared" si="13"/>
        <v>2475</v>
      </c>
      <c r="AB25" s="182"/>
      <c r="AC25" s="182">
        <f>AB25*$AD$7</f>
        <v>0</v>
      </c>
      <c r="AD25" s="186">
        <v>55</v>
      </c>
      <c r="AE25" s="183">
        <f>AD25*$AE$6</f>
        <v>3960</v>
      </c>
      <c r="AF25" s="183"/>
      <c r="AG25" s="50"/>
      <c r="AH25" s="184"/>
      <c r="AI25" s="75"/>
      <c r="AJ25" s="246">
        <f t="shared" si="14"/>
        <v>226477</v>
      </c>
      <c r="AK25" s="272">
        <v>4</v>
      </c>
      <c r="AL25" s="273">
        <f t="shared" si="15"/>
        <v>5944</v>
      </c>
      <c r="AM25" s="307">
        <v>99</v>
      </c>
      <c r="AN25" s="308">
        <v>1</v>
      </c>
      <c r="AO25" s="299">
        <v>99</v>
      </c>
      <c r="AP25" s="274">
        <f>AO25*$AP$6</f>
        <v>57618</v>
      </c>
      <c r="AQ25" s="275">
        <f t="shared" si="16"/>
        <v>1080.5540000000001</v>
      </c>
      <c r="AR25" s="276">
        <f>AL25+AP25+AQ25</f>
        <v>64642.554000000004</v>
      </c>
      <c r="AS25" s="277">
        <v>58314</v>
      </c>
      <c r="AT25" s="275">
        <v>9987</v>
      </c>
      <c r="AU25" s="318">
        <f>AS25+AT25</f>
        <v>68301</v>
      </c>
      <c r="AV25" s="377">
        <f t="shared" si="17"/>
        <v>294778</v>
      </c>
    </row>
    <row r="26" spans="1:48" ht="15.75" thickBot="1" x14ac:dyDescent="0.3">
      <c r="A26" s="10">
        <v>18</v>
      </c>
      <c r="B26" s="325" t="s">
        <v>22</v>
      </c>
      <c r="C26" s="77">
        <v>1</v>
      </c>
      <c r="D26" s="78">
        <v>6</v>
      </c>
      <c r="E26" s="45">
        <f>SUM(F26:J26)</f>
        <v>74</v>
      </c>
      <c r="F26" s="79">
        <v>67</v>
      </c>
      <c r="G26" s="79"/>
      <c r="H26" s="79">
        <v>7</v>
      </c>
      <c r="I26" s="79"/>
      <c r="J26" s="80"/>
      <c r="K26" s="48">
        <f t="shared" si="7"/>
        <v>33000</v>
      </c>
      <c r="L26" s="49">
        <f t="shared" si="8"/>
        <v>41952</v>
      </c>
      <c r="M26" s="50">
        <f t="shared" si="9"/>
        <v>91790</v>
      </c>
      <c r="N26" s="51">
        <f t="shared" si="10"/>
        <v>2834.614</v>
      </c>
      <c r="O26" s="52">
        <f t="shared" si="11"/>
        <v>169576.614</v>
      </c>
      <c r="P26" s="96">
        <v>167276</v>
      </c>
      <c r="Q26" s="50"/>
      <c r="R26" s="50">
        <v>13883</v>
      </c>
      <c r="S26" s="53">
        <v>1199</v>
      </c>
      <c r="T26" s="54">
        <f t="shared" si="12"/>
        <v>182358</v>
      </c>
      <c r="U26" s="178">
        <f t="shared" si="18"/>
        <v>0</v>
      </c>
      <c r="V26" s="178"/>
      <c r="W26" s="178"/>
      <c r="X26" s="179"/>
      <c r="Y26" s="179"/>
      <c r="Z26" s="180"/>
      <c r="AA26" s="181">
        <f t="shared" si="13"/>
        <v>1675</v>
      </c>
      <c r="AB26" s="201"/>
      <c r="AC26" s="201">
        <f>AB26*$AD$7</f>
        <v>0</v>
      </c>
      <c r="AD26" s="190">
        <v>36</v>
      </c>
      <c r="AE26" s="183">
        <f>AD26*$AE$6</f>
        <v>2592</v>
      </c>
      <c r="AF26" s="191"/>
      <c r="AG26" s="64"/>
      <c r="AH26" s="192"/>
      <c r="AI26" s="193"/>
      <c r="AJ26" s="246">
        <f t="shared" si="14"/>
        <v>186625</v>
      </c>
      <c r="AK26" s="278">
        <v>2</v>
      </c>
      <c r="AL26" s="273">
        <f t="shared" si="15"/>
        <v>2972</v>
      </c>
      <c r="AM26" s="313">
        <v>67</v>
      </c>
      <c r="AN26" s="310">
        <v>0.62686567164179108</v>
      </c>
      <c r="AO26" s="300">
        <v>42</v>
      </c>
      <c r="AP26" s="274">
        <f>AO26*$AP$6</f>
        <v>24444</v>
      </c>
      <c r="AQ26" s="275">
        <f t="shared" si="16"/>
        <v>466.07200000000006</v>
      </c>
      <c r="AR26" s="276">
        <f>AL26+AP26+AQ26</f>
        <v>27882.072</v>
      </c>
      <c r="AS26" s="277">
        <v>24739</v>
      </c>
      <c r="AT26" s="275">
        <v>3178</v>
      </c>
      <c r="AU26" s="318">
        <f>AS26+AT26</f>
        <v>27917</v>
      </c>
      <c r="AV26" s="377">
        <f t="shared" si="17"/>
        <v>214542</v>
      </c>
    </row>
    <row r="27" spans="1:48" ht="15.75" thickBot="1" x14ac:dyDescent="0.3">
      <c r="A27" s="828" t="s">
        <v>23</v>
      </c>
      <c r="B27" s="829"/>
      <c r="C27" s="65">
        <f t="shared" ref="C27:J27" si="26">SUM(C22:C26)</f>
        <v>5</v>
      </c>
      <c r="D27" s="66">
        <f t="shared" si="26"/>
        <v>39</v>
      </c>
      <c r="E27" s="67">
        <f t="shared" si="26"/>
        <v>599</v>
      </c>
      <c r="F27" s="68">
        <f t="shared" si="26"/>
        <v>585</v>
      </c>
      <c r="G27" s="68">
        <f t="shared" si="26"/>
        <v>4</v>
      </c>
      <c r="H27" s="68">
        <f t="shared" si="26"/>
        <v>10</v>
      </c>
      <c r="I27" s="68">
        <f t="shared" si="26"/>
        <v>0</v>
      </c>
      <c r="J27" s="81">
        <f t="shared" si="26"/>
        <v>0</v>
      </c>
      <c r="K27" s="70">
        <f>SUM(K22:K26)</f>
        <v>165000</v>
      </c>
      <c r="L27" s="71">
        <f>SUM(L22:L26)</f>
        <v>272688</v>
      </c>
      <c r="M27" s="70">
        <f>SUM(M22:M26)</f>
        <v>801450</v>
      </c>
      <c r="N27" s="71">
        <f>SUM(N22:N26)</f>
        <v>21065.346000000005</v>
      </c>
      <c r="O27" s="72">
        <f>SUM(O22:O26)</f>
        <v>1260203.3459999999</v>
      </c>
      <c r="P27" s="71">
        <f t="shared" ref="P27:AA27" si="27">SUM(P22:P26)</f>
        <v>1243108</v>
      </c>
      <c r="Q27" s="71">
        <f t="shared" si="27"/>
        <v>1400</v>
      </c>
      <c r="R27" s="71">
        <f t="shared" si="27"/>
        <v>34526</v>
      </c>
      <c r="S27" s="73">
        <f t="shared" si="27"/>
        <v>10466</v>
      </c>
      <c r="T27" s="74">
        <f t="shared" si="27"/>
        <v>1289500</v>
      </c>
      <c r="U27" s="71">
        <f t="shared" si="27"/>
        <v>14368</v>
      </c>
      <c r="V27" s="71">
        <f t="shared" si="27"/>
        <v>0</v>
      </c>
      <c r="W27" s="194">
        <f t="shared" si="27"/>
        <v>0</v>
      </c>
      <c r="X27" s="194"/>
      <c r="Y27" s="197">
        <f t="shared" si="27"/>
        <v>0</v>
      </c>
      <c r="Z27" s="195">
        <f t="shared" si="27"/>
        <v>0</v>
      </c>
      <c r="AA27" s="198">
        <f t="shared" si="27"/>
        <v>14625</v>
      </c>
      <c r="AB27" s="197"/>
      <c r="AC27" s="197">
        <f>SUM(AC22:AC26)</f>
        <v>0</v>
      </c>
      <c r="AD27" s="198">
        <f t="shared" ref="AD27:AU27" si="28">SUM(AD22:AD26)</f>
        <v>319</v>
      </c>
      <c r="AE27" s="195">
        <f t="shared" si="28"/>
        <v>22968</v>
      </c>
      <c r="AF27" s="199">
        <f t="shared" si="28"/>
        <v>0</v>
      </c>
      <c r="AG27" s="70"/>
      <c r="AH27" s="199">
        <f t="shared" si="28"/>
        <v>0</v>
      </c>
      <c r="AI27" s="195">
        <f t="shared" si="28"/>
        <v>0</v>
      </c>
      <c r="AJ27" s="247">
        <f t="shared" si="28"/>
        <v>1341461</v>
      </c>
      <c r="AK27" s="282">
        <f t="shared" si="28"/>
        <v>20</v>
      </c>
      <c r="AL27" s="280">
        <f t="shared" si="28"/>
        <v>29720</v>
      </c>
      <c r="AM27" s="295">
        <f>SUM(AM22:AM26)</f>
        <v>587</v>
      </c>
      <c r="AN27" s="294"/>
      <c r="AO27" s="291">
        <f t="shared" si="28"/>
        <v>443</v>
      </c>
      <c r="AP27" s="280">
        <f t="shared" si="28"/>
        <v>257826</v>
      </c>
      <c r="AQ27" s="280">
        <f t="shared" si="28"/>
        <v>4888.2820000000002</v>
      </c>
      <c r="AR27" s="284">
        <f t="shared" si="28"/>
        <v>292434.28199999995</v>
      </c>
      <c r="AS27" s="282">
        <f t="shared" si="28"/>
        <v>260942</v>
      </c>
      <c r="AT27" s="280">
        <f t="shared" si="28"/>
        <v>44311</v>
      </c>
      <c r="AU27" s="200">
        <f t="shared" si="28"/>
        <v>305253</v>
      </c>
      <c r="AV27" s="247">
        <f t="shared" ref="AV27" si="29">SUM(AV22:AV26)</f>
        <v>1646714</v>
      </c>
    </row>
    <row r="28" spans="1:48" ht="15.75" thickBot="1" x14ac:dyDescent="0.3">
      <c r="A28" s="830" t="s">
        <v>24</v>
      </c>
      <c r="B28" s="831"/>
      <c r="C28" s="65">
        <f>SUM(C21+C27)</f>
        <v>18</v>
      </c>
      <c r="D28" s="82">
        <f>D21+D27-D14</f>
        <v>348</v>
      </c>
      <c r="E28" s="83">
        <f t="shared" ref="E28:J28" si="30">SUM(E21+E27)</f>
        <v>8352</v>
      </c>
      <c r="F28" s="84">
        <f t="shared" si="30"/>
        <v>7825</v>
      </c>
      <c r="G28" s="84">
        <f t="shared" si="30"/>
        <v>18</v>
      </c>
      <c r="H28" s="85">
        <f t="shared" si="30"/>
        <v>131</v>
      </c>
      <c r="I28" s="85">
        <f t="shared" si="30"/>
        <v>61</v>
      </c>
      <c r="J28" s="86">
        <f t="shared" si="30"/>
        <v>317</v>
      </c>
      <c r="K28" s="87">
        <f t="shared" ref="K28:Q28" si="31">SUM(K21+K27)</f>
        <v>594000</v>
      </c>
      <c r="L28" s="83">
        <f t="shared" si="31"/>
        <v>2433216</v>
      </c>
      <c r="M28" s="88">
        <f t="shared" si="31"/>
        <v>10720250</v>
      </c>
      <c r="N28" s="89">
        <f t="shared" si="31"/>
        <v>233706.92200000002</v>
      </c>
      <c r="O28" s="90">
        <f t="shared" si="31"/>
        <v>13981172.921999998</v>
      </c>
      <c r="P28" s="83">
        <f t="shared" si="31"/>
        <v>13791508</v>
      </c>
      <c r="Q28" s="83">
        <f t="shared" si="31"/>
        <v>5600</v>
      </c>
      <c r="R28" s="83">
        <f t="shared" ref="R28:T28" si="32">SUM(R21+R27)</f>
        <v>44065</v>
      </c>
      <c r="S28" s="91">
        <f t="shared" si="32"/>
        <v>140000</v>
      </c>
      <c r="T28" s="74">
        <f t="shared" si="32"/>
        <v>13981173</v>
      </c>
      <c r="U28" s="83">
        <f>SUM(U21+U27)</f>
        <v>64656</v>
      </c>
      <c r="V28" s="83">
        <f>SUM(V21+V27)</f>
        <v>0</v>
      </c>
      <c r="W28" s="202">
        <f>SUM(W21+W27)</f>
        <v>96868</v>
      </c>
      <c r="X28" s="202">
        <f>SUM(X21+X27)</f>
        <v>97888</v>
      </c>
      <c r="Y28" s="203">
        <f>SUM(Y21+Y27)</f>
        <v>723394</v>
      </c>
      <c r="Z28" s="204">
        <f>Z21+Z27</f>
        <v>13961.794000000002</v>
      </c>
      <c r="AA28" s="205">
        <f>SUM(AA21+AA27)</f>
        <v>203550</v>
      </c>
      <c r="AB28" s="203"/>
      <c r="AC28" s="203">
        <f>AC21+AC27</f>
        <v>1009</v>
      </c>
      <c r="AD28" s="205">
        <f>AD21+AD27</f>
        <v>3199</v>
      </c>
      <c r="AE28" s="204">
        <f t="shared" ref="AE28:AU28" si="33">AE21+AE27</f>
        <v>230328</v>
      </c>
      <c r="AF28" s="206">
        <f t="shared" si="33"/>
        <v>2612</v>
      </c>
      <c r="AG28" s="87"/>
      <c r="AH28" s="206">
        <f t="shared" si="33"/>
        <v>227244</v>
      </c>
      <c r="AI28" s="204">
        <f t="shared" si="33"/>
        <v>0</v>
      </c>
      <c r="AJ28" s="248">
        <f t="shared" si="33"/>
        <v>15640071.794</v>
      </c>
      <c r="AK28" s="285">
        <f t="shared" si="33"/>
        <v>95</v>
      </c>
      <c r="AL28" s="286">
        <f t="shared" si="33"/>
        <v>141170</v>
      </c>
      <c r="AM28" s="314">
        <f>AM21+AM27</f>
        <v>6844</v>
      </c>
      <c r="AN28" s="315"/>
      <c r="AO28" s="290">
        <f t="shared" si="33"/>
        <v>2207</v>
      </c>
      <c r="AP28" s="286">
        <f t="shared" si="33"/>
        <v>1284474</v>
      </c>
      <c r="AQ28" s="286">
        <f t="shared" si="33"/>
        <v>24235.948000000004</v>
      </c>
      <c r="AR28" s="287">
        <f t="shared" si="33"/>
        <v>1449879.9479999999</v>
      </c>
      <c r="AS28" s="285">
        <f t="shared" si="33"/>
        <v>1300000</v>
      </c>
      <c r="AT28" s="286">
        <f t="shared" si="33"/>
        <v>149880</v>
      </c>
      <c r="AU28" s="207">
        <f t="shared" si="33"/>
        <v>1449880</v>
      </c>
      <c r="AV28" s="248">
        <f t="shared" ref="AV28" si="34">AV21+AV27</f>
        <v>17089951.794</v>
      </c>
    </row>
    <row r="29" spans="1:48" ht="15.75" thickBot="1" x14ac:dyDescent="0.3">
      <c r="A29" s="832" t="s">
        <v>25</v>
      </c>
      <c r="B29" s="833"/>
      <c r="C29" s="92"/>
      <c r="D29" s="93"/>
      <c r="E29" s="45">
        <f>SUM(F29:J29)</f>
        <v>29</v>
      </c>
      <c r="F29" s="67">
        <v>43</v>
      </c>
      <c r="G29" s="67">
        <v>-3</v>
      </c>
      <c r="H29" s="94">
        <v>-15</v>
      </c>
      <c r="I29" s="94">
        <v>5</v>
      </c>
      <c r="J29" s="95">
        <v>-1</v>
      </c>
      <c r="K29" s="48">
        <f>C29*$E$7</f>
        <v>0</v>
      </c>
      <c r="L29" s="49">
        <f t="shared" ref="L29" si="35">D29*$D$6</f>
        <v>0</v>
      </c>
      <c r="M29" s="50">
        <f t="shared" ref="M29" si="36">F29*$F$6</f>
        <v>58910</v>
      </c>
      <c r="N29" s="51">
        <f t="shared" ref="N29" si="37">SUM(K29:M29)*$N$6</f>
        <v>1001.47</v>
      </c>
      <c r="O29" s="97">
        <f>M29+N29</f>
        <v>59911.47</v>
      </c>
      <c r="P29" s="96">
        <v>59911</v>
      </c>
      <c r="Q29" s="96"/>
      <c r="R29" s="96"/>
      <c r="S29" s="53"/>
      <c r="T29" s="98">
        <f>SUM(P29:S29)</f>
        <v>59911</v>
      </c>
      <c r="U29" s="178">
        <f t="shared" ref="U29" si="38">G29*$G$6</f>
        <v>-10776</v>
      </c>
      <c r="V29" s="208">
        <v>50576</v>
      </c>
      <c r="W29" s="178">
        <f>I29*$I$6</f>
        <v>7940</v>
      </c>
      <c r="X29" s="209"/>
      <c r="Y29" s="179">
        <f>J29*$J$6</f>
        <v>-2282</v>
      </c>
      <c r="Z29" s="180">
        <f>(Y29+X29)*0.017</f>
        <v>-38.794000000000004</v>
      </c>
      <c r="AA29" s="181">
        <f>(F29+J29)*$AA$6</f>
        <v>1050</v>
      </c>
      <c r="AB29" s="211"/>
      <c r="AC29" s="182">
        <f>AB29*$AD$7</f>
        <v>0</v>
      </c>
      <c r="AD29" s="181">
        <v>9</v>
      </c>
      <c r="AE29" s="183">
        <f>AD29*$AE$6</f>
        <v>648</v>
      </c>
      <c r="AF29" s="212">
        <v>118</v>
      </c>
      <c r="AG29" s="449"/>
      <c r="AH29" s="183">
        <f>AF29*87</f>
        <v>10266</v>
      </c>
      <c r="AI29" s="180"/>
      <c r="AJ29" s="246">
        <f t="shared" ref="AJ29" si="39">Z29+Y29+W29+V29+U29+T29+AA29+AC29+AE29+AH29+AI29+X29</f>
        <v>117294.20600000001</v>
      </c>
      <c r="AK29" s="277">
        <v>0</v>
      </c>
      <c r="AL29" s="273">
        <f t="shared" ref="AL29" si="40">AK29*$AL$6</f>
        <v>0</v>
      </c>
      <c r="AM29" s="295"/>
      <c r="AN29" s="294"/>
      <c r="AO29" s="273">
        <v>38</v>
      </c>
      <c r="AP29" s="274">
        <f>AO29*$AP$6</f>
        <v>22116</v>
      </c>
      <c r="AQ29" s="275">
        <f t="shared" ref="AQ29" si="41">(AL29+AP29)*$AQ$6</f>
        <v>375.97200000000004</v>
      </c>
      <c r="AR29" s="276">
        <f>AL29+AP29+AQ29</f>
        <v>22491.972000000002</v>
      </c>
      <c r="AS29" s="277">
        <v>22492</v>
      </c>
      <c r="AT29" s="275">
        <f>$BB$7*AO29*BB29</f>
        <v>0</v>
      </c>
      <c r="AU29" s="185">
        <f>AS29+AT29</f>
        <v>22492</v>
      </c>
      <c r="AV29" s="377">
        <f>AJ29+AU29</f>
        <v>139786.20600000001</v>
      </c>
    </row>
    <row r="30" spans="1:48" ht="16.5" thickBot="1" x14ac:dyDescent="0.3">
      <c r="A30" s="818" t="s">
        <v>82</v>
      </c>
      <c r="B30" s="819"/>
      <c r="C30" s="99">
        <f>C28+C29</f>
        <v>18</v>
      </c>
      <c r="D30" s="100">
        <f t="shared" ref="D30:J30" si="42">SUM(D28+D29)</f>
        <v>348</v>
      </c>
      <c r="E30" s="101">
        <f t="shared" si="42"/>
        <v>8381</v>
      </c>
      <c r="F30" s="101">
        <f t="shared" si="42"/>
        <v>7868</v>
      </c>
      <c r="G30" s="102">
        <f t="shared" si="42"/>
        <v>15</v>
      </c>
      <c r="H30" s="102">
        <f t="shared" si="42"/>
        <v>116</v>
      </c>
      <c r="I30" s="102">
        <f t="shared" si="42"/>
        <v>66</v>
      </c>
      <c r="J30" s="103">
        <f t="shared" si="42"/>
        <v>316</v>
      </c>
      <c r="K30" s="101">
        <f>SUM(K28+K29)</f>
        <v>594000</v>
      </c>
      <c r="L30" s="104">
        <f>SUM(L28+L29)</f>
        <v>2433216</v>
      </c>
      <c r="M30" s="101">
        <f>SUM(M28+M29)</f>
        <v>10779160</v>
      </c>
      <c r="N30" s="101">
        <f>SUM(N28+N29)</f>
        <v>234708.39200000002</v>
      </c>
      <c r="O30" s="105">
        <f>SUM(O28+O29)</f>
        <v>14041084.391999999</v>
      </c>
      <c r="P30" s="101">
        <f>P28+P29</f>
        <v>13851419</v>
      </c>
      <c r="Q30" s="101">
        <f>Q28+Q29</f>
        <v>5600</v>
      </c>
      <c r="R30" s="101">
        <f>R28+R29</f>
        <v>44065</v>
      </c>
      <c r="S30" s="101">
        <f>S28+S29</f>
        <v>140000</v>
      </c>
      <c r="T30" s="106">
        <f>T28+T29</f>
        <v>14041084</v>
      </c>
      <c r="U30" s="101">
        <f t="shared" ref="U30:AV30" si="43">SUM(U28+U29)</f>
        <v>53880</v>
      </c>
      <c r="V30" s="101">
        <f t="shared" si="43"/>
        <v>50576</v>
      </c>
      <c r="W30" s="101">
        <f t="shared" si="43"/>
        <v>104808</v>
      </c>
      <c r="X30" s="213">
        <f t="shared" si="43"/>
        <v>97888</v>
      </c>
      <c r="Y30" s="213">
        <f t="shared" si="43"/>
        <v>721112</v>
      </c>
      <c r="Z30" s="213">
        <f t="shared" si="43"/>
        <v>13923.000000000002</v>
      </c>
      <c r="AA30" s="214">
        <f t="shared" si="43"/>
        <v>204600</v>
      </c>
      <c r="AB30" s="104">
        <v>1</v>
      </c>
      <c r="AC30" s="213">
        <f t="shared" si="43"/>
        <v>1009</v>
      </c>
      <c r="AD30" s="215">
        <f>SUM(AD28+AD29)</f>
        <v>3208</v>
      </c>
      <c r="AE30" s="103">
        <f t="shared" si="43"/>
        <v>230976</v>
      </c>
      <c r="AF30" s="215">
        <f t="shared" si="43"/>
        <v>2730</v>
      </c>
      <c r="AG30" s="450"/>
      <c r="AH30" s="103">
        <f t="shared" si="43"/>
        <v>237510</v>
      </c>
      <c r="AI30" s="213">
        <f t="shared" si="43"/>
        <v>0</v>
      </c>
      <c r="AJ30" s="248">
        <f t="shared" si="43"/>
        <v>15757366</v>
      </c>
      <c r="AK30" s="289">
        <f t="shared" si="43"/>
        <v>95</v>
      </c>
      <c r="AL30" s="285">
        <f t="shared" si="43"/>
        <v>141170</v>
      </c>
      <c r="AM30" s="296">
        <f>AM28+AM29</f>
        <v>6844</v>
      </c>
      <c r="AN30" s="297">
        <f>AN28+AN29</f>
        <v>0</v>
      </c>
      <c r="AO30" s="288">
        <f t="shared" si="43"/>
        <v>2245</v>
      </c>
      <c r="AP30" s="285">
        <f t="shared" si="43"/>
        <v>1306590</v>
      </c>
      <c r="AQ30" s="290">
        <f t="shared" si="43"/>
        <v>24611.920000000006</v>
      </c>
      <c r="AR30" s="287">
        <f>SUM(AR28+AR29)</f>
        <v>1472371.92</v>
      </c>
      <c r="AS30" s="285">
        <f t="shared" si="43"/>
        <v>1322492</v>
      </c>
      <c r="AT30" s="290">
        <f t="shared" si="43"/>
        <v>149880</v>
      </c>
      <c r="AU30" s="207">
        <f t="shared" si="43"/>
        <v>1472372</v>
      </c>
      <c r="AV30" s="248">
        <f t="shared" si="43"/>
        <v>17229738</v>
      </c>
    </row>
    <row r="31" spans="1:48" ht="30" customHeight="1" x14ac:dyDescent="0.25">
      <c r="A31" s="2"/>
      <c r="B31" s="17" t="s">
        <v>2</v>
      </c>
      <c r="C31" s="107">
        <v>19000</v>
      </c>
      <c r="D31" s="108">
        <v>8016</v>
      </c>
      <c r="E31" s="109"/>
      <c r="F31" s="110">
        <v>1437</v>
      </c>
      <c r="G31" s="111"/>
      <c r="H31" s="111"/>
      <c r="I31" s="111"/>
      <c r="J31" s="112"/>
      <c r="K31" s="48"/>
      <c r="L31" s="49"/>
      <c r="M31" s="113"/>
      <c r="N31" s="113"/>
      <c r="O31" s="113"/>
      <c r="P31" s="114">
        <v>0.98</v>
      </c>
      <c r="Q31" s="113"/>
      <c r="R31" s="113"/>
      <c r="S31" s="114">
        <v>0.02</v>
      </c>
      <c r="T31" s="115"/>
      <c r="U31" s="216"/>
      <c r="V31" s="216"/>
      <c r="W31" s="216"/>
      <c r="X31" s="217"/>
      <c r="Y31" s="411" t="s">
        <v>67</v>
      </c>
      <c r="Z31" s="410" t="s">
        <v>31</v>
      </c>
      <c r="AA31" s="218"/>
      <c r="AB31" s="217"/>
      <c r="AC31" s="217"/>
      <c r="AD31" s="219"/>
      <c r="AE31" s="220"/>
      <c r="AF31" s="220"/>
      <c r="AG31" s="113"/>
      <c r="AH31" s="221"/>
      <c r="AI31" s="222"/>
      <c r="AJ31" s="249" t="s">
        <v>66</v>
      </c>
    </row>
    <row r="32" spans="1:48" x14ac:dyDescent="0.25">
      <c r="A32" s="2">
        <v>1</v>
      </c>
      <c r="B32" s="322" t="s">
        <v>26</v>
      </c>
      <c r="C32" s="116">
        <v>1</v>
      </c>
      <c r="D32" s="117">
        <v>3</v>
      </c>
      <c r="E32" s="45">
        <f>SUM(F32:J32)</f>
        <v>77</v>
      </c>
      <c r="F32" s="118">
        <v>77</v>
      </c>
      <c r="G32" s="111"/>
      <c r="H32" s="111"/>
      <c r="I32" s="111"/>
      <c r="J32" s="112"/>
      <c r="K32" s="48"/>
      <c r="L32" s="49">
        <f>D32*$D$31</f>
        <v>24048</v>
      </c>
      <c r="M32" s="119">
        <f>F32*$F$31</f>
        <v>110649</v>
      </c>
      <c r="N32" s="119">
        <f>SUM(K32:M32)*0.017</f>
        <v>2289.8490000000002</v>
      </c>
      <c r="O32" s="120">
        <f>L32+M32+N32</f>
        <v>136986.84899999999</v>
      </c>
      <c r="P32" s="119">
        <f>O32-S32</f>
        <v>134247.11202</v>
      </c>
      <c r="Q32" s="119"/>
      <c r="R32" s="119"/>
      <c r="S32" s="119">
        <f>O32*$S$31</f>
        <v>2739.7369799999997</v>
      </c>
      <c r="T32" s="121">
        <f>SUM(P32:S32)</f>
        <v>136986.84899999999</v>
      </c>
      <c r="U32" s="223"/>
      <c r="V32" s="223"/>
      <c r="W32" s="223"/>
      <c r="X32" s="224"/>
      <c r="Y32" s="224">
        <v>19000</v>
      </c>
      <c r="Z32" s="180">
        <f>Y32*0.017</f>
        <v>323</v>
      </c>
      <c r="AA32" s="218"/>
      <c r="AB32" s="217"/>
      <c r="AC32" s="217"/>
      <c r="AD32" s="219"/>
      <c r="AE32" s="220"/>
      <c r="AF32" s="220"/>
      <c r="AG32" s="113"/>
      <c r="AH32" s="221"/>
      <c r="AI32" s="222"/>
      <c r="AJ32" s="246">
        <f>Z32+Y32+W32+V32+U32+T32+AA32+AC32+AE32+AH32+AI32+X32</f>
        <v>156309.84899999999</v>
      </c>
    </row>
    <row r="33" spans="1:36" x14ac:dyDescent="0.25">
      <c r="A33" s="4">
        <v>2</v>
      </c>
      <c r="B33" s="323" t="s">
        <v>27</v>
      </c>
      <c r="C33" s="122">
        <v>1</v>
      </c>
      <c r="D33" s="123">
        <v>5</v>
      </c>
      <c r="E33" s="60">
        <f>SUM(F33:J33)</f>
        <v>125</v>
      </c>
      <c r="F33" s="12">
        <v>125</v>
      </c>
      <c r="G33" s="124"/>
      <c r="H33" s="124"/>
      <c r="I33" s="124"/>
      <c r="J33" s="125"/>
      <c r="K33" s="48"/>
      <c r="L33" s="49">
        <f>D33*$D$31</f>
        <v>40080</v>
      </c>
      <c r="M33" s="119">
        <f>F33*$F$31</f>
        <v>179625</v>
      </c>
      <c r="N33" s="119">
        <f>SUM(K33:M33)*0.017</f>
        <v>3734.9850000000001</v>
      </c>
      <c r="O33" s="120">
        <f>L33+M33+N33</f>
        <v>223439.98499999999</v>
      </c>
      <c r="P33" s="119">
        <f>O33-S33</f>
        <v>218971.18529999998</v>
      </c>
      <c r="Q33" s="119"/>
      <c r="R33" s="119"/>
      <c r="S33" s="119">
        <f t="shared" ref="S33:S34" si="44">O33*$S$31</f>
        <v>4468.7996999999996</v>
      </c>
      <c r="T33" s="121">
        <f>SUM(P33:S33)</f>
        <v>223439.98499999999</v>
      </c>
      <c r="U33" s="223"/>
      <c r="V33" s="223"/>
      <c r="W33" s="223"/>
      <c r="X33" s="224"/>
      <c r="Y33" s="224">
        <v>19000</v>
      </c>
      <c r="Z33" s="180">
        <f>Y33*0.017</f>
        <v>323</v>
      </c>
      <c r="AA33" s="225"/>
      <c r="AB33" s="224"/>
      <c r="AC33" s="224"/>
      <c r="AD33" s="226"/>
      <c r="AE33" s="227"/>
      <c r="AF33" s="227"/>
      <c r="AG33" s="119"/>
      <c r="AH33" s="228"/>
      <c r="AI33" s="229"/>
      <c r="AJ33" s="246">
        <f t="shared" ref="AJ33:AJ34" si="45">Z33+Y33+W33+V33+U33+T33+AA33+AC33+AE33+AH33+AI33+X33</f>
        <v>242762.98499999999</v>
      </c>
    </row>
    <row r="34" spans="1:36" x14ac:dyDescent="0.25">
      <c r="A34" s="4">
        <v>3</v>
      </c>
      <c r="B34" s="326" t="s">
        <v>28</v>
      </c>
      <c r="C34" s="122"/>
      <c r="D34" s="123">
        <v>6</v>
      </c>
      <c r="E34" s="60">
        <f>SUM(F34:J34)</f>
        <v>102</v>
      </c>
      <c r="F34" s="126">
        <v>102</v>
      </c>
      <c r="G34" s="127"/>
      <c r="H34" s="127"/>
      <c r="I34" s="127"/>
      <c r="J34" s="128"/>
      <c r="K34" s="48">
        <f t="shared" ref="K34" si="46">C34*$C$31</f>
        <v>0</v>
      </c>
      <c r="L34" s="49">
        <f>D34*$D$31</f>
        <v>48096</v>
      </c>
      <c r="M34" s="119">
        <f>F34*$F$31</f>
        <v>146574</v>
      </c>
      <c r="N34" s="119">
        <f>SUM(K34:M34)*0.017</f>
        <v>3309.3900000000003</v>
      </c>
      <c r="O34" s="120">
        <f>L34+M34+N34</f>
        <v>197979.39</v>
      </c>
      <c r="P34" s="119">
        <f>O34-S34</f>
        <v>194019.80220000001</v>
      </c>
      <c r="Q34" s="119"/>
      <c r="R34" s="119"/>
      <c r="S34" s="119">
        <f t="shared" si="44"/>
        <v>3959.5878000000002</v>
      </c>
      <c r="T34" s="121">
        <f>SUM(P34:S34)</f>
        <v>197979.39</v>
      </c>
      <c r="U34" s="119"/>
      <c r="V34" s="119"/>
      <c r="W34" s="119"/>
      <c r="X34" s="228"/>
      <c r="Y34" s="224"/>
      <c r="Z34" s="180">
        <f>(I34)*0.017</f>
        <v>0</v>
      </c>
      <c r="AA34" s="225"/>
      <c r="AB34" s="228"/>
      <c r="AC34" s="224"/>
      <c r="AD34" s="226"/>
      <c r="AE34" s="227"/>
      <c r="AF34" s="227"/>
      <c r="AG34" s="119"/>
      <c r="AH34" s="228"/>
      <c r="AI34" s="229"/>
      <c r="AJ34" s="246">
        <f t="shared" si="45"/>
        <v>197979.39</v>
      </c>
    </row>
    <row r="35" spans="1:36" ht="14.25" customHeight="1" thickBot="1" x14ac:dyDescent="0.3">
      <c r="A35" s="820" t="s">
        <v>29</v>
      </c>
      <c r="B35" s="821"/>
      <c r="C35" s="116"/>
      <c r="D35" s="117"/>
      <c r="E35" s="129"/>
      <c r="F35" s="130"/>
      <c r="G35" s="131"/>
      <c r="H35" s="131"/>
      <c r="I35" s="131"/>
      <c r="J35" s="132"/>
      <c r="K35" s="133"/>
      <c r="L35" s="145">
        <f>D35*$D$31</f>
        <v>0</v>
      </c>
      <c r="M35" s="119">
        <f>F35*$F$31</f>
        <v>0</v>
      </c>
      <c r="N35" s="134"/>
      <c r="O35" s="135"/>
      <c r="P35" s="134"/>
      <c r="Q35" s="134"/>
      <c r="R35" s="134"/>
      <c r="S35" s="134"/>
      <c r="T35" s="136"/>
      <c r="U35" s="134"/>
      <c r="V35" s="134"/>
      <c r="W35" s="134"/>
      <c r="X35" s="134"/>
      <c r="Y35" s="230"/>
      <c r="Z35" s="180">
        <f>(I35)*0.017</f>
        <v>0</v>
      </c>
      <c r="AA35" s="231"/>
      <c r="AB35" s="232"/>
      <c r="AC35" s="233"/>
      <c r="AD35" s="234"/>
      <c r="AE35" s="235"/>
      <c r="AF35" s="235"/>
      <c r="AG35" s="134"/>
      <c r="AH35" s="232"/>
      <c r="AI35" s="236"/>
      <c r="AJ35" s="250">
        <f>AA35+AB35</f>
        <v>0</v>
      </c>
    </row>
    <row r="36" spans="1:36" ht="15.75" thickBot="1" x14ac:dyDescent="0.3">
      <c r="A36" s="739" t="s">
        <v>30</v>
      </c>
      <c r="B36" s="741"/>
      <c r="C36" s="99">
        <f>SUM(C32:C34)</f>
        <v>2</v>
      </c>
      <c r="D36" s="100">
        <f>SUM(D32:D35)</f>
        <v>14</v>
      </c>
      <c r="E36" s="137">
        <f>SUM(E32:E35)</f>
        <v>304</v>
      </c>
      <c r="F36" s="137">
        <f>SUM(F32:F35)</f>
        <v>304</v>
      </c>
      <c r="G36" s="137">
        <f>SUM(G32:G34)</f>
        <v>0</v>
      </c>
      <c r="H36" s="137">
        <f>SUM(H32:H34)</f>
        <v>0</v>
      </c>
      <c r="I36" s="137">
        <f>SUM(I32:I34)</f>
        <v>0</v>
      </c>
      <c r="J36" s="138">
        <f>SUM(J32:J34)</f>
        <v>0</v>
      </c>
      <c r="K36" s="139">
        <f t="shared" ref="K36:O36" si="47">SUM(K32:K35)</f>
        <v>0</v>
      </c>
      <c r="L36" s="140">
        <f t="shared" si="47"/>
        <v>112224</v>
      </c>
      <c r="M36" s="140">
        <f t="shared" si="47"/>
        <v>436848</v>
      </c>
      <c r="N36" s="141">
        <f t="shared" si="47"/>
        <v>9334.224000000002</v>
      </c>
      <c r="O36" s="142">
        <f t="shared" si="47"/>
        <v>558406.22399999993</v>
      </c>
      <c r="P36" s="142">
        <f>SUM(P32:P35)</f>
        <v>547238.09952000005</v>
      </c>
      <c r="Q36" s="141"/>
      <c r="R36" s="141"/>
      <c r="S36" s="142">
        <f>SUM(S32:S35)</f>
        <v>11168.124479999999</v>
      </c>
      <c r="T36" s="143">
        <f>SUM(T32:T35)</f>
        <v>558406.22399999993</v>
      </c>
      <c r="U36" s="141"/>
      <c r="V36" s="141"/>
      <c r="W36" s="141"/>
      <c r="X36" s="141"/>
      <c r="Y36" s="143">
        <f>SUM(Y32:Y35)</f>
        <v>38000</v>
      </c>
      <c r="Z36" s="143">
        <f>SUM(Z32:Z35)</f>
        <v>646</v>
      </c>
      <c r="AA36" s="237"/>
      <c r="AB36" s="238"/>
      <c r="AC36" s="239"/>
      <c r="AD36" s="240"/>
      <c r="AE36" s="241"/>
      <c r="AF36" s="241"/>
      <c r="AG36" s="141"/>
      <c r="AH36" s="238"/>
      <c r="AI36" s="242"/>
      <c r="AJ36" s="248">
        <f>SUM(AJ32:AJ35)</f>
        <v>597052.22399999993</v>
      </c>
    </row>
    <row r="37" spans="1:36" s="373" customFormat="1" ht="28.5" customHeight="1" thickBot="1" x14ac:dyDescent="0.3">
      <c r="A37" s="747" t="s">
        <v>149</v>
      </c>
      <c r="B37" s="747"/>
      <c r="C37" s="747"/>
      <c r="D37" s="747"/>
      <c r="E37" s="747"/>
      <c r="F37" s="747"/>
      <c r="G37" s="747"/>
      <c r="H37" s="747"/>
      <c r="I37" s="747"/>
      <c r="J37" s="747"/>
      <c r="K37" s="747"/>
      <c r="L37" s="747"/>
      <c r="M37" s="747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72"/>
    </row>
    <row r="38" spans="1:36" s="367" customFormat="1" ht="15.75" thickBot="1" x14ac:dyDescent="0.3">
      <c r="A38" s="368" t="s">
        <v>97</v>
      </c>
      <c r="B38" s="366"/>
      <c r="C38" s="369"/>
      <c r="D38" s="369"/>
      <c r="E38" s="369"/>
      <c r="F38" s="370"/>
      <c r="G38" s="370"/>
      <c r="H38" s="370"/>
      <c r="I38" s="370"/>
      <c r="J38" s="369"/>
      <c r="K38" s="369"/>
      <c r="L38" s="369"/>
      <c r="M38" s="369"/>
      <c r="N38" s="369"/>
      <c r="O38" s="369"/>
      <c r="P38" s="369"/>
      <c r="Q38" s="369"/>
      <c r="R38" s="780" t="s">
        <v>103</v>
      </c>
      <c r="S38" s="781"/>
      <c r="T38" s="781"/>
      <c r="U38" s="781"/>
      <c r="V38" s="782"/>
      <c r="W38" s="780" t="s">
        <v>106</v>
      </c>
      <c r="X38" s="781"/>
      <c r="Y38" s="782"/>
      <c r="Z38" s="459"/>
      <c r="AA38" s="763" t="s">
        <v>111</v>
      </c>
      <c r="AB38" s="768" t="s">
        <v>107</v>
      </c>
      <c r="AC38" s="769"/>
      <c r="AD38" s="770" t="s">
        <v>53</v>
      </c>
      <c r="AE38" s="772" t="s">
        <v>53</v>
      </c>
      <c r="AF38" s="774" t="s">
        <v>110</v>
      </c>
    </row>
    <row r="39" spans="1:36" ht="75.75" customHeight="1" x14ac:dyDescent="0.25">
      <c r="A39" s="391"/>
      <c r="B39" s="375"/>
      <c r="C39" s="341"/>
      <c r="D39" s="392"/>
      <c r="E39" s="378" t="s">
        <v>98</v>
      </c>
      <c r="F39" s="379" t="s">
        <v>99</v>
      </c>
      <c r="G39" s="354" t="s">
        <v>100</v>
      </c>
      <c r="H39" s="351" t="s">
        <v>87</v>
      </c>
      <c r="I39" s="351" t="s">
        <v>88</v>
      </c>
      <c r="J39" s="351" t="s">
        <v>89</v>
      </c>
      <c r="K39" s="352" t="s">
        <v>90</v>
      </c>
      <c r="L39" s="353" t="s">
        <v>91</v>
      </c>
      <c r="M39" s="404" t="s">
        <v>92</v>
      </c>
      <c r="N39" s="407" t="s">
        <v>93</v>
      </c>
      <c r="O39" s="398" t="s">
        <v>105</v>
      </c>
      <c r="P39" s="400" t="s">
        <v>101</v>
      </c>
      <c r="Q39" s="401" t="s">
        <v>102</v>
      </c>
      <c r="R39" s="402" t="s">
        <v>87</v>
      </c>
      <c r="S39" s="353" t="s">
        <v>88</v>
      </c>
      <c r="T39" s="351" t="s">
        <v>94</v>
      </c>
      <c r="U39" s="399" t="s">
        <v>91</v>
      </c>
      <c r="V39" s="403" t="s">
        <v>104</v>
      </c>
      <c r="W39" s="441" t="s">
        <v>95</v>
      </c>
      <c r="X39" s="354" t="s">
        <v>93</v>
      </c>
      <c r="Y39" s="442" t="s">
        <v>90</v>
      </c>
      <c r="Z39" s="451"/>
      <c r="AA39" s="765"/>
      <c r="AB39" s="460" t="s">
        <v>108</v>
      </c>
      <c r="AC39" s="461" t="s">
        <v>109</v>
      </c>
      <c r="AD39" s="771"/>
      <c r="AE39" s="773"/>
      <c r="AF39" s="775"/>
    </row>
    <row r="40" spans="1:36" ht="18" customHeight="1" x14ac:dyDescent="0.25">
      <c r="A40" s="393" t="s">
        <v>96</v>
      </c>
      <c r="B40" s="390"/>
      <c r="C40" s="49"/>
      <c r="D40" s="394"/>
      <c r="E40" s="355">
        <v>33000</v>
      </c>
      <c r="F40" s="356">
        <v>9350</v>
      </c>
      <c r="G40" s="357"/>
      <c r="H40" s="358">
        <v>1669</v>
      </c>
      <c r="I40" s="358">
        <v>1693</v>
      </c>
      <c r="J40" s="359">
        <v>2102</v>
      </c>
      <c r="K40" s="359">
        <v>1065</v>
      </c>
      <c r="L40" s="359">
        <v>2422</v>
      </c>
      <c r="M40" s="405">
        <v>436</v>
      </c>
      <c r="N40" s="408">
        <v>1588</v>
      </c>
      <c r="O40" s="360"/>
      <c r="P40" s="361"/>
      <c r="Q40" s="380"/>
      <c r="R40" s="384"/>
      <c r="S40" s="363"/>
      <c r="T40" s="363"/>
      <c r="U40" s="362"/>
      <c r="V40" s="385"/>
      <c r="W40" s="362"/>
      <c r="X40" s="363"/>
      <c r="Y40" s="364"/>
      <c r="Z40" s="380"/>
      <c r="AA40" s="360"/>
      <c r="AB40" s="452"/>
      <c r="AC40" s="462"/>
      <c r="AD40" s="466">
        <v>87</v>
      </c>
      <c r="AE40" s="467">
        <v>97</v>
      </c>
      <c r="AF40" s="365"/>
    </row>
    <row r="41" spans="1:36" ht="15.75" customHeight="1" x14ac:dyDescent="0.25">
      <c r="A41" s="395"/>
      <c r="B41" s="374" t="s">
        <v>28</v>
      </c>
      <c r="C41" s="327">
        <v>39</v>
      </c>
      <c r="D41" s="396">
        <v>28</v>
      </c>
      <c r="E41" s="328">
        <v>1</v>
      </c>
      <c r="F41" s="329">
        <v>10</v>
      </c>
      <c r="G41" s="330">
        <f>H41+I41+J41+K41-K41+L41</f>
        <v>247</v>
      </c>
      <c r="H41" s="331">
        <v>83</v>
      </c>
      <c r="I41" s="331">
        <v>114</v>
      </c>
      <c r="J41" s="332">
        <v>50</v>
      </c>
      <c r="K41" s="332">
        <v>60</v>
      </c>
      <c r="L41" s="332"/>
      <c r="M41" s="406">
        <v>15</v>
      </c>
      <c r="N41" s="409"/>
      <c r="O41" s="333">
        <f>SUM(P41:V41)</f>
        <v>572702</v>
      </c>
      <c r="P41" s="329">
        <v>33000</v>
      </c>
      <c r="Q41" s="437">
        <v>93500</v>
      </c>
      <c r="R41" s="386">
        <v>138527</v>
      </c>
      <c r="S41" s="332">
        <v>193002</v>
      </c>
      <c r="T41" s="330">
        <v>105100</v>
      </c>
      <c r="U41" s="382"/>
      <c r="V41" s="387">
        <v>9573</v>
      </c>
      <c r="W41" s="382"/>
      <c r="X41" s="330"/>
      <c r="Y41" s="335">
        <v>63900</v>
      </c>
      <c r="Z41" s="453"/>
      <c r="AA41" s="333">
        <v>6175</v>
      </c>
      <c r="AB41" s="386">
        <v>83</v>
      </c>
      <c r="AC41" s="463">
        <v>164</v>
      </c>
      <c r="AD41" s="464">
        <f>AB41*$AD$40</f>
        <v>7221</v>
      </c>
      <c r="AE41" s="465">
        <f>AC41*$AE$40</f>
        <v>15908</v>
      </c>
      <c r="AF41" s="336">
        <f>AE41+AD41+AA41+Y41+X41+W41+O41</f>
        <v>665906</v>
      </c>
    </row>
    <row r="42" spans="1:36" ht="15.75" customHeight="1" thickBot="1" x14ac:dyDescent="0.3">
      <c r="A42" s="412"/>
      <c r="B42" s="413" t="s">
        <v>83</v>
      </c>
      <c r="C42" s="414"/>
      <c r="D42" s="415"/>
      <c r="E42" s="416"/>
      <c r="F42" s="350">
        <v>1</v>
      </c>
      <c r="G42" s="339">
        <f>H42+I42+J42+K42-K42+L42</f>
        <v>23</v>
      </c>
      <c r="H42" s="417"/>
      <c r="I42" s="417"/>
      <c r="J42" s="418"/>
      <c r="K42" s="418"/>
      <c r="L42" s="417">
        <v>23</v>
      </c>
      <c r="M42" s="419"/>
      <c r="N42" s="420"/>
      <c r="O42" s="343">
        <f>SUM(P42:V42)</f>
        <v>66162</v>
      </c>
      <c r="P42" s="342"/>
      <c r="Q42" s="438">
        <v>9350</v>
      </c>
      <c r="R42" s="421"/>
      <c r="S42" s="339"/>
      <c r="T42" s="339"/>
      <c r="U42" s="422">
        <v>55706</v>
      </c>
      <c r="V42" s="423">
        <v>1106</v>
      </c>
      <c r="W42" s="422"/>
      <c r="X42" s="339"/>
      <c r="Y42" s="424"/>
      <c r="Z42" s="454"/>
      <c r="AA42" s="340">
        <v>575</v>
      </c>
      <c r="AB42" s="455"/>
      <c r="AC42" s="371">
        <v>23</v>
      </c>
      <c r="AD42" s="464">
        <f>AB42*$AD$40</f>
        <v>0</v>
      </c>
      <c r="AE42" s="465">
        <f>AC42*$AE$40</f>
        <v>2231</v>
      </c>
      <c r="AF42" s="336">
        <f>AE42+AD42+AA42+Y42+X42+W42+O42</f>
        <v>68968</v>
      </c>
    </row>
    <row r="43" spans="1:36" ht="15.75" customHeight="1" thickBot="1" x14ac:dyDescent="0.3">
      <c r="A43" s="428"/>
      <c r="B43" s="429" t="s">
        <v>84</v>
      </c>
      <c r="C43" s="430"/>
      <c r="D43" s="431"/>
      <c r="E43" s="432">
        <f>SUM(E41:E42)</f>
        <v>1</v>
      </c>
      <c r="F43" s="432">
        <f t="shared" ref="F43:L43" si="48">SUM(F41:F42)</f>
        <v>11</v>
      </c>
      <c r="G43" s="432">
        <f>SUM(G41:G42)</f>
        <v>270</v>
      </c>
      <c r="H43" s="432">
        <f t="shared" si="48"/>
        <v>83</v>
      </c>
      <c r="I43" s="432">
        <f t="shared" si="48"/>
        <v>114</v>
      </c>
      <c r="J43" s="432">
        <f t="shared" si="48"/>
        <v>50</v>
      </c>
      <c r="K43" s="432">
        <f t="shared" si="48"/>
        <v>60</v>
      </c>
      <c r="L43" s="433">
        <f t="shared" si="48"/>
        <v>23</v>
      </c>
      <c r="M43" s="99">
        <f>SUM(M41:M42)</f>
        <v>15</v>
      </c>
      <c r="N43" s="434"/>
      <c r="O43" s="435">
        <f>SUM(O41:O42)+X43</f>
        <v>638864</v>
      </c>
      <c r="P43" s="137">
        <f>SUM(P41:P42)</f>
        <v>33000</v>
      </c>
      <c r="Q43" s="439">
        <f>Q41+Q42</f>
        <v>102850</v>
      </c>
      <c r="R43" s="435">
        <f t="shared" ref="R43:AA43" si="49">SUM(R41:R42)</f>
        <v>138527</v>
      </c>
      <c r="S43" s="435">
        <f t="shared" si="49"/>
        <v>193002</v>
      </c>
      <c r="T43" s="66">
        <f t="shared" si="49"/>
        <v>105100</v>
      </c>
      <c r="U43" s="138">
        <f t="shared" si="49"/>
        <v>55706</v>
      </c>
      <c r="V43" s="138">
        <f t="shared" si="49"/>
        <v>10679</v>
      </c>
      <c r="W43" s="100">
        <f t="shared" si="49"/>
        <v>0</v>
      </c>
      <c r="X43" s="100">
        <f t="shared" si="49"/>
        <v>0</v>
      </c>
      <c r="Y43" s="100">
        <f t="shared" si="49"/>
        <v>63900</v>
      </c>
      <c r="Z43" s="100">
        <f t="shared" si="49"/>
        <v>0</v>
      </c>
      <c r="AA43" s="432">
        <f t="shared" si="49"/>
        <v>6750</v>
      </c>
      <c r="AB43" s="456">
        <f>SUM(AB41:AB42)</f>
        <v>83</v>
      </c>
      <c r="AC43" s="456">
        <f>SUM(AC41:AC42)</f>
        <v>187</v>
      </c>
      <c r="AD43" s="457">
        <f>SUM(AD41:AD42)</f>
        <v>7221</v>
      </c>
      <c r="AE43" s="458">
        <f>SUM(AE41:AE42)</f>
        <v>18139</v>
      </c>
      <c r="AF43" s="248">
        <f>SUM(AF41:AF42)</f>
        <v>734874</v>
      </c>
    </row>
    <row r="44" spans="1:36" ht="15.75" customHeight="1" thickBot="1" x14ac:dyDescent="0.3">
      <c r="A44" s="425" t="s">
        <v>85</v>
      </c>
      <c r="B44" s="413"/>
      <c r="C44" s="414"/>
      <c r="D44" s="415"/>
      <c r="E44" s="416"/>
      <c r="F44" s="350"/>
      <c r="G44" s="339">
        <v>-4</v>
      </c>
      <c r="H44" s="417">
        <v>-1</v>
      </c>
      <c r="I44" s="417">
        <v>1</v>
      </c>
      <c r="J44" s="418"/>
      <c r="K44" s="418">
        <v>-60</v>
      </c>
      <c r="L44" s="417">
        <v>-4</v>
      </c>
      <c r="M44" s="419">
        <v>2</v>
      </c>
      <c r="N44" s="426">
        <v>97</v>
      </c>
      <c r="O44" s="360">
        <f>SUM(P44:V44)</f>
        <v>-9828</v>
      </c>
      <c r="P44" s="339"/>
      <c r="Q44" s="427">
        <f>G44*G36</f>
        <v>0</v>
      </c>
      <c r="R44" s="421">
        <v>-1669</v>
      </c>
      <c r="S44" s="339">
        <v>1693</v>
      </c>
      <c r="T44" s="339">
        <f>J44*J36</f>
        <v>0</v>
      </c>
      <c r="U44" s="422">
        <v>-9688</v>
      </c>
      <c r="V44" s="423">
        <v>-164</v>
      </c>
      <c r="W44" s="445">
        <v>7412</v>
      </c>
      <c r="X44" s="443">
        <v>154036</v>
      </c>
      <c r="Y44" s="424">
        <v>-63900</v>
      </c>
      <c r="Z44" s="454"/>
      <c r="AA44" s="340">
        <v>-100</v>
      </c>
      <c r="AB44" s="455">
        <v>-1</v>
      </c>
      <c r="AC44" s="371">
        <v>-3</v>
      </c>
      <c r="AD44" s="464">
        <f>AB44*$AD$40</f>
        <v>-87</v>
      </c>
      <c r="AE44" s="465">
        <f>AC44*$AE$40</f>
        <v>-291</v>
      </c>
      <c r="AF44" s="336">
        <f>AE44+AD44+AA44+Y44+X44+W44+O44</f>
        <v>87242</v>
      </c>
    </row>
    <row r="45" spans="1:36" ht="15.75" customHeight="1" thickBot="1" x14ac:dyDescent="0.3">
      <c r="A45" s="344" t="s">
        <v>86</v>
      </c>
      <c r="B45" s="345"/>
      <c r="C45" s="346"/>
      <c r="D45" s="397"/>
      <c r="E45" s="347">
        <f>SUM(E43:E44)</f>
        <v>1</v>
      </c>
      <c r="F45" s="347">
        <f t="shared" ref="F45:AE45" si="50">SUM(F43:F44)</f>
        <v>11</v>
      </c>
      <c r="G45" s="347">
        <f t="shared" si="50"/>
        <v>266</v>
      </c>
      <c r="H45" s="347">
        <f t="shared" si="50"/>
        <v>82</v>
      </c>
      <c r="I45" s="347">
        <f t="shared" si="50"/>
        <v>115</v>
      </c>
      <c r="J45" s="347">
        <f t="shared" si="50"/>
        <v>50</v>
      </c>
      <c r="K45" s="347">
        <f t="shared" si="50"/>
        <v>0</v>
      </c>
      <c r="L45" s="347">
        <f t="shared" si="50"/>
        <v>19</v>
      </c>
      <c r="M45" s="381">
        <f t="shared" si="50"/>
        <v>17</v>
      </c>
      <c r="N45" s="347">
        <f t="shared" si="50"/>
        <v>97</v>
      </c>
      <c r="O45" s="348">
        <f>SUM(O43:O44)</f>
        <v>629036</v>
      </c>
      <c r="P45" s="347">
        <f>SUM(P43:P44)</f>
        <v>33000</v>
      </c>
      <c r="Q45" s="440">
        <f t="shared" si="50"/>
        <v>102850</v>
      </c>
      <c r="R45" s="348">
        <f t="shared" si="50"/>
        <v>136858</v>
      </c>
      <c r="S45" s="347">
        <f t="shared" si="50"/>
        <v>194695</v>
      </c>
      <c r="T45" s="389">
        <f t="shared" si="50"/>
        <v>105100</v>
      </c>
      <c r="U45" s="383">
        <f>SUM(U43:U44)</f>
        <v>46018</v>
      </c>
      <c r="V45" s="383">
        <f>SUM(V43:V44)</f>
        <v>10515</v>
      </c>
      <c r="W45" s="388">
        <f t="shared" si="50"/>
        <v>7412</v>
      </c>
      <c r="X45" s="444">
        <f t="shared" si="50"/>
        <v>154036</v>
      </c>
      <c r="Y45" s="347">
        <f t="shared" si="50"/>
        <v>0</v>
      </c>
      <c r="Z45" s="347">
        <f t="shared" si="50"/>
        <v>0</v>
      </c>
      <c r="AA45" s="347">
        <f t="shared" si="50"/>
        <v>6650</v>
      </c>
      <c r="AB45" s="388">
        <f>SUM(AB41:AB44)</f>
        <v>165</v>
      </c>
      <c r="AC45" s="383">
        <f>AC43+AC44</f>
        <v>184</v>
      </c>
      <c r="AD45" s="388">
        <f t="shared" si="50"/>
        <v>7134</v>
      </c>
      <c r="AE45" s="383">
        <f t="shared" si="50"/>
        <v>17848</v>
      </c>
      <c r="AF45" s="248">
        <f>SUM(AF43:AF44)</f>
        <v>822116</v>
      </c>
    </row>
    <row r="46" spans="1:36" x14ac:dyDescent="0.25">
      <c r="A46" s="497"/>
    </row>
    <row r="47" spans="1:36" ht="15.75" thickBot="1" x14ac:dyDescent="0.3"/>
    <row r="48" spans="1:36" ht="47.25" customHeight="1" thickBot="1" x14ac:dyDescent="0.3">
      <c r="A48" s="751" t="s">
        <v>0</v>
      </c>
      <c r="B48" s="760" t="s">
        <v>1</v>
      </c>
      <c r="C48" s="739" t="s">
        <v>155</v>
      </c>
      <c r="D48" s="740"/>
      <c r="E48" s="740"/>
      <c r="F48" s="741"/>
      <c r="G48" s="744" t="s">
        <v>171</v>
      </c>
      <c r="H48" s="744"/>
      <c r="I48" s="744"/>
      <c r="J48" s="745"/>
      <c r="K48" s="763" t="s">
        <v>156</v>
      </c>
      <c r="L48" s="748" t="s">
        <v>173</v>
      </c>
    </row>
    <row r="49" spans="1:13" ht="23.25" customHeight="1" x14ac:dyDescent="0.25">
      <c r="A49" s="759"/>
      <c r="B49" s="761"/>
      <c r="C49" s="751" t="s">
        <v>157</v>
      </c>
      <c r="D49" s="753" t="s">
        <v>170</v>
      </c>
      <c r="E49" s="742" t="s">
        <v>158</v>
      </c>
      <c r="F49" s="743"/>
      <c r="G49" s="755" t="s">
        <v>159</v>
      </c>
      <c r="H49" s="757" t="s">
        <v>160</v>
      </c>
      <c r="I49" s="757" t="s">
        <v>161</v>
      </c>
      <c r="J49" s="766" t="s">
        <v>172</v>
      </c>
      <c r="K49" s="764"/>
      <c r="L49" s="749"/>
    </row>
    <row r="50" spans="1:13" ht="39" customHeight="1" x14ac:dyDescent="0.25">
      <c r="A50" s="752"/>
      <c r="B50" s="762"/>
      <c r="C50" s="752"/>
      <c r="D50" s="754"/>
      <c r="E50" s="551" t="s">
        <v>162</v>
      </c>
      <c r="F50" s="550" t="s">
        <v>163</v>
      </c>
      <c r="G50" s="756"/>
      <c r="H50" s="758"/>
      <c r="I50" s="758"/>
      <c r="J50" s="767"/>
      <c r="K50" s="765"/>
      <c r="L50" s="750"/>
    </row>
    <row r="51" spans="1:13" ht="15.75" thickBot="1" x14ac:dyDescent="0.3">
      <c r="A51" s="534"/>
      <c r="B51" s="535">
        <v>1</v>
      </c>
      <c r="C51" s="536">
        <v>2</v>
      </c>
      <c r="D51" s="537">
        <v>3</v>
      </c>
      <c r="E51" s="537" t="s">
        <v>116</v>
      </c>
      <c r="F51" s="538" t="s">
        <v>117</v>
      </c>
      <c r="G51" s="539" t="s">
        <v>121</v>
      </c>
      <c r="H51" s="540" t="s">
        <v>122</v>
      </c>
      <c r="I51" s="537" t="s">
        <v>123</v>
      </c>
      <c r="J51" s="538" t="s">
        <v>124</v>
      </c>
      <c r="K51" s="542">
        <v>4</v>
      </c>
      <c r="L51" s="541">
        <v>5</v>
      </c>
    </row>
    <row r="52" spans="1:13" ht="15.75" x14ac:dyDescent="0.25">
      <c r="A52" s="737" t="s">
        <v>164</v>
      </c>
      <c r="B52" s="738"/>
      <c r="C52" s="549"/>
      <c r="D52" s="532"/>
      <c r="E52" s="111" t="s">
        <v>165</v>
      </c>
      <c r="F52" s="545"/>
      <c r="G52" s="547">
        <v>1666</v>
      </c>
      <c r="H52" s="533">
        <v>1110</v>
      </c>
      <c r="I52" s="506">
        <v>1.7000000000000001E-2</v>
      </c>
      <c r="J52" s="507"/>
      <c r="K52" s="543">
        <v>72</v>
      </c>
      <c r="L52" s="507"/>
    </row>
    <row r="53" spans="1:13" x14ac:dyDescent="0.25">
      <c r="A53" s="508">
        <v>1</v>
      </c>
      <c r="B53" s="509" t="s">
        <v>166</v>
      </c>
      <c r="C53" s="510">
        <v>1</v>
      </c>
      <c r="D53" s="124">
        <v>22</v>
      </c>
      <c r="E53" s="511">
        <v>5</v>
      </c>
      <c r="F53" s="522">
        <v>17</v>
      </c>
      <c r="G53" s="514">
        <f>C53*$G$52</f>
        <v>1666</v>
      </c>
      <c r="H53" s="515">
        <f>D53*$H$52</f>
        <v>24420</v>
      </c>
      <c r="I53" s="515">
        <f>(G53+H53)*$I$52</f>
        <v>443.46200000000005</v>
      </c>
      <c r="J53" s="483">
        <f>SUM(G53:I53)</f>
        <v>26529.462</v>
      </c>
      <c r="K53" s="317">
        <f>D53*$K$52</f>
        <v>1584</v>
      </c>
      <c r="L53" s="517">
        <f>J53+K53</f>
        <v>28113.462</v>
      </c>
    </row>
    <row r="54" spans="1:13" x14ac:dyDescent="0.25">
      <c r="A54" s="516">
        <v>2</v>
      </c>
      <c r="B54" s="518" t="s">
        <v>167</v>
      </c>
      <c r="C54" s="519">
        <v>1</v>
      </c>
      <c r="D54" s="124">
        <v>14</v>
      </c>
      <c r="E54" s="521">
        <v>8</v>
      </c>
      <c r="F54" s="522">
        <v>6</v>
      </c>
      <c r="G54" s="514">
        <f>C54*$G$52</f>
        <v>1666</v>
      </c>
      <c r="H54" s="515">
        <f>D54*$H$52</f>
        <v>15540</v>
      </c>
      <c r="I54" s="515">
        <f>(G54+H54)*$I$52</f>
        <v>292.50200000000001</v>
      </c>
      <c r="J54" s="517">
        <f>SUM(G54:I54)</f>
        <v>17498.502</v>
      </c>
      <c r="K54" s="317">
        <f>D54*$K$52</f>
        <v>1008</v>
      </c>
      <c r="L54" s="517">
        <f>J54+K54</f>
        <v>18506.502</v>
      </c>
    </row>
    <row r="55" spans="1:13" ht="15.75" thickBot="1" x14ac:dyDescent="0.3">
      <c r="A55" s="508">
        <v>3</v>
      </c>
      <c r="B55" s="523" t="s">
        <v>168</v>
      </c>
      <c r="C55" s="524">
        <v>1</v>
      </c>
      <c r="D55" s="124">
        <v>21</v>
      </c>
      <c r="E55" s="525">
        <v>13</v>
      </c>
      <c r="F55" s="526">
        <v>8</v>
      </c>
      <c r="G55" s="514">
        <f>C55*$G$52</f>
        <v>1666</v>
      </c>
      <c r="H55" s="515">
        <f>D55*$H$52</f>
        <v>23310</v>
      </c>
      <c r="I55" s="515">
        <f>(G55+H55)*$I$52</f>
        <v>424.59200000000004</v>
      </c>
      <c r="J55" s="528">
        <f>SUM(G55:I55)</f>
        <v>25400.592000000001</v>
      </c>
      <c r="K55" s="317">
        <f>D55*$K$52</f>
        <v>1512</v>
      </c>
      <c r="L55" s="517">
        <f>J55+K55</f>
        <v>26912.592000000001</v>
      </c>
    </row>
    <row r="56" spans="1:13" ht="15.75" thickBot="1" x14ac:dyDescent="0.3">
      <c r="A56" s="552" t="s">
        <v>169</v>
      </c>
      <c r="B56" s="144"/>
      <c r="C56" s="469">
        <f t="shared" ref="C56:L56" si="51">SUM(C53:C55)</f>
        <v>3</v>
      </c>
      <c r="D56" s="530">
        <f t="shared" si="51"/>
        <v>57</v>
      </c>
      <c r="E56" s="530">
        <f t="shared" si="51"/>
        <v>26</v>
      </c>
      <c r="F56" s="546">
        <f t="shared" si="51"/>
        <v>31</v>
      </c>
      <c r="G56" s="102">
        <f t="shared" si="51"/>
        <v>4998</v>
      </c>
      <c r="H56" s="67">
        <f t="shared" si="51"/>
        <v>63270</v>
      </c>
      <c r="I56" s="67">
        <f t="shared" si="51"/>
        <v>1160.556</v>
      </c>
      <c r="J56" s="103">
        <f t="shared" si="51"/>
        <v>69428.555999999997</v>
      </c>
      <c r="K56" s="544">
        <f t="shared" si="51"/>
        <v>4104</v>
      </c>
      <c r="L56" s="103">
        <f t="shared" si="51"/>
        <v>73532.555999999997</v>
      </c>
    </row>
    <row r="58" spans="1:13" ht="27.75" customHeight="1" x14ac:dyDescent="0.25">
      <c r="A58" s="746" t="s">
        <v>149</v>
      </c>
      <c r="B58" s="746"/>
      <c r="C58" s="746"/>
      <c r="D58" s="746"/>
      <c r="E58" s="746"/>
      <c r="F58" s="746"/>
      <c r="G58" s="746"/>
      <c r="H58" s="746"/>
      <c r="I58" s="746"/>
      <c r="J58" s="746"/>
      <c r="K58" s="746"/>
      <c r="L58" s="746"/>
      <c r="M58" s="746"/>
    </row>
  </sheetData>
  <mergeCells count="57">
    <mergeCell ref="Q3:S3"/>
    <mergeCell ref="A30:B30"/>
    <mergeCell ref="A35:B35"/>
    <mergeCell ref="A36:B36"/>
    <mergeCell ref="A3:A4"/>
    <mergeCell ref="B3:B4"/>
    <mergeCell ref="A21:B21"/>
    <mergeCell ref="A27:B27"/>
    <mergeCell ref="A28:B28"/>
    <mergeCell ref="A29:B29"/>
    <mergeCell ref="M3:M4"/>
    <mergeCell ref="K2:M2"/>
    <mergeCell ref="N2:N4"/>
    <mergeCell ref="O3:O4"/>
    <mergeCell ref="P3:P4"/>
    <mergeCell ref="C3:C4"/>
    <mergeCell ref="D3:E3"/>
    <mergeCell ref="F3:J3"/>
    <mergeCell ref="K3:K4"/>
    <mergeCell ref="L3:L4"/>
    <mergeCell ref="AU3:AU4"/>
    <mergeCell ref="AV3:AV4"/>
    <mergeCell ref="R38:V38"/>
    <mergeCell ref="W38:Y38"/>
    <mergeCell ref="AF3:AG3"/>
    <mergeCell ref="AH3:AH4"/>
    <mergeCell ref="AI3:AI4"/>
    <mergeCell ref="AJ3:AJ4"/>
    <mergeCell ref="AK3:AQ3"/>
    <mergeCell ref="AR3:AR4"/>
    <mergeCell ref="AS3:AT3"/>
    <mergeCell ref="T3:T4"/>
    <mergeCell ref="X3:Z3"/>
    <mergeCell ref="AA3:AA4"/>
    <mergeCell ref="AB3:AC3"/>
    <mergeCell ref="AD3:AE3"/>
    <mergeCell ref="AB38:AC38"/>
    <mergeCell ref="AD38:AD39"/>
    <mergeCell ref="AE38:AE39"/>
    <mergeCell ref="AA38:AA39"/>
    <mergeCell ref="AF38:AF39"/>
    <mergeCell ref="A37:M37"/>
    <mergeCell ref="L48:L50"/>
    <mergeCell ref="C49:C50"/>
    <mergeCell ref="D49:D50"/>
    <mergeCell ref="G49:G50"/>
    <mergeCell ref="H49:H50"/>
    <mergeCell ref="I49:I50"/>
    <mergeCell ref="A48:A50"/>
    <mergeCell ref="B48:B50"/>
    <mergeCell ref="K48:K50"/>
    <mergeCell ref="J49:J50"/>
    <mergeCell ref="A52:B52"/>
    <mergeCell ref="C48:F48"/>
    <mergeCell ref="E49:F49"/>
    <mergeCell ref="G48:J48"/>
    <mergeCell ref="A58:M58"/>
  </mergeCells>
  <pageMargins left="0.7" right="0.7" top="0.75" bottom="0.75" header="0.3" footer="0.3"/>
  <pageSetup scale="80" orientation="portrait" r:id="rId1"/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75" zoomScaleNormal="75" workbookViewId="0">
      <selection activeCell="B36" sqref="B36"/>
    </sheetView>
  </sheetViews>
  <sheetFormatPr defaultRowHeight="15" x14ac:dyDescent="0.25"/>
  <cols>
    <col min="1" max="1" width="3.28515625" customWidth="1"/>
    <col min="2" max="2" width="18.5703125" customWidth="1"/>
    <col min="3" max="3" width="7.7109375" customWidth="1"/>
    <col min="4" max="4" width="10.28515625" customWidth="1"/>
    <col min="5" max="5" width="8.42578125" customWidth="1"/>
    <col min="6" max="6" width="7.140625" customWidth="1"/>
  </cols>
  <sheetData>
    <row r="1" spans="1:7" ht="56.25" customHeight="1" x14ac:dyDescent="0.25">
      <c r="A1" s="834" t="s">
        <v>147</v>
      </c>
      <c r="B1" s="834"/>
      <c r="C1" s="834"/>
      <c r="D1" s="834"/>
      <c r="E1" s="834"/>
      <c r="F1" s="834"/>
      <c r="G1" s="834"/>
    </row>
    <row r="2" spans="1:7" ht="15.75" thickBot="1" x14ac:dyDescent="0.3">
      <c r="A2" s="496" t="s">
        <v>148</v>
      </c>
    </row>
    <row r="3" spans="1:7" ht="15.75" thickBot="1" x14ac:dyDescent="0.3">
      <c r="A3" s="839" t="s">
        <v>0</v>
      </c>
      <c r="B3" s="841" t="s">
        <v>1</v>
      </c>
      <c r="C3" s="739" t="s">
        <v>112</v>
      </c>
      <c r="D3" s="740"/>
      <c r="E3" s="740"/>
      <c r="F3" s="740"/>
      <c r="G3" s="741"/>
    </row>
    <row r="4" spans="1:7" ht="55.5" x14ac:dyDescent="0.25">
      <c r="A4" s="840"/>
      <c r="B4" s="842"/>
      <c r="C4" s="470" t="s">
        <v>61</v>
      </c>
      <c r="D4" s="471" t="s">
        <v>113</v>
      </c>
      <c r="E4" s="493" t="s">
        <v>114</v>
      </c>
      <c r="F4" s="349" t="s">
        <v>115</v>
      </c>
      <c r="G4" s="473" t="s">
        <v>250</v>
      </c>
    </row>
    <row r="5" spans="1:7" x14ac:dyDescent="0.25">
      <c r="A5" s="495">
        <v>1</v>
      </c>
      <c r="B5" s="468">
        <v>2</v>
      </c>
      <c r="C5" s="474"/>
      <c r="D5" s="475"/>
      <c r="E5" s="474"/>
      <c r="F5" s="476"/>
      <c r="G5" s="477"/>
    </row>
    <row r="6" spans="1:7" ht="16.5" customHeight="1" x14ac:dyDescent="0.25">
      <c r="A6" s="495"/>
      <c r="B6" s="1" t="s">
        <v>2</v>
      </c>
      <c r="C6" s="478"/>
      <c r="D6" s="479">
        <v>2476</v>
      </c>
      <c r="E6" s="172"/>
      <c r="F6" s="480">
        <v>359</v>
      </c>
      <c r="G6" s="481"/>
    </row>
    <row r="7" spans="1:7" x14ac:dyDescent="0.25">
      <c r="A7" s="2">
        <v>1</v>
      </c>
      <c r="B7" s="3" t="s">
        <v>3</v>
      </c>
      <c r="C7" s="186"/>
      <c r="D7" s="338">
        <f>C7*$D$6</f>
        <v>0</v>
      </c>
      <c r="E7" s="186">
        <v>4</v>
      </c>
      <c r="F7" s="184">
        <f>E7*$F$6</f>
        <v>1436</v>
      </c>
      <c r="G7" s="482">
        <f>D7+F7</f>
        <v>1436</v>
      </c>
    </row>
    <row r="8" spans="1:7" x14ac:dyDescent="0.25">
      <c r="A8" s="4">
        <v>2</v>
      </c>
      <c r="B8" s="5" t="s">
        <v>4</v>
      </c>
      <c r="C8" s="186"/>
      <c r="D8" s="338">
        <f t="shared" ref="D8:D26" si="0">C8*$D$6</f>
        <v>0</v>
      </c>
      <c r="E8" s="186">
        <v>13</v>
      </c>
      <c r="F8" s="184">
        <f t="shared" ref="F8:F26" si="1">E8*$F$6</f>
        <v>4667</v>
      </c>
      <c r="G8" s="482">
        <f t="shared" ref="G8:G26" si="2">D8+F8</f>
        <v>4667</v>
      </c>
    </row>
    <row r="9" spans="1:7" x14ac:dyDescent="0.25">
      <c r="A9" s="4">
        <v>3</v>
      </c>
      <c r="B9" s="5" t="s">
        <v>5</v>
      </c>
      <c r="C9" s="186">
        <v>18</v>
      </c>
      <c r="D9" s="338">
        <f t="shared" si="0"/>
        <v>44568</v>
      </c>
      <c r="E9" s="186">
        <v>18</v>
      </c>
      <c r="F9" s="184">
        <f t="shared" si="1"/>
        <v>6462</v>
      </c>
      <c r="G9" s="482">
        <f t="shared" si="2"/>
        <v>51030</v>
      </c>
    </row>
    <row r="10" spans="1:7" x14ac:dyDescent="0.25">
      <c r="A10" s="4">
        <v>4</v>
      </c>
      <c r="B10" s="5" t="s">
        <v>6</v>
      </c>
      <c r="C10" s="186">
        <v>15</v>
      </c>
      <c r="D10" s="338">
        <f t="shared" si="0"/>
        <v>37140</v>
      </c>
      <c r="E10" s="186">
        <v>15</v>
      </c>
      <c r="F10" s="184">
        <f t="shared" si="1"/>
        <v>5385</v>
      </c>
      <c r="G10" s="482">
        <f t="shared" si="2"/>
        <v>42525</v>
      </c>
    </row>
    <row r="11" spans="1:7" x14ac:dyDescent="0.25">
      <c r="A11" s="4">
        <v>5</v>
      </c>
      <c r="B11" s="5" t="s">
        <v>7</v>
      </c>
      <c r="C11" s="186">
        <v>25</v>
      </c>
      <c r="D11" s="338">
        <f t="shared" si="0"/>
        <v>61900</v>
      </c>
      <c r="E11" s="186">
        <v>25</v>
      </c>
      <c r="F11" s="184">
        <f t="shared" si="1"/>
        <v>8975</v>
      </c>
      <c r="G11" s="482">
        <f t="shared" si="2"/>
        <v>70875</v>
      </c>
    </row>
    <row r="12" spans="1:7" x14ac:dyDescent="0.25">
      <c r="A12" s="4">
        <v>6</v>
      </c>
      <c r="B12" s="5" t="s">
        <v>8</v>
      </c>
      <c r="C12" s="186">
        <v>5</v>
      </c>
      <c r="D12" s="338">
        <f t="shared" si="0"/>
        <v>12380</v>
      </c>
      <c r="E12" s="186">
        <v>5</v>
      </c>
      <c r="F12" s="184">
        <f t="shared" si="1"/>
        <v>1795</v>
      </c>
      <c r="G12" s="482">
        <f t="shared" si="2"/>
        <v>14175</v>
      </c>
    </row>
    <row r="13" spans="1:7" x14ac:dyDescent="0.25">
      <c r="A13" s="4">
        <v>7</v>
      </c>
      <c r="B13" s="5" t="s">
        <v>9</v>
      </c>
      <c r="C13" s="186"/>
      <c r="D13" s="338">
        <f t="shared" si="0"/>
        <v>0</v>
      </c>
      <c r="E13" s="186">
        <v>4</v>
      </c>
      <c r="F13" s="184">
        <f t="shared" si="1"/>
        <v>1436</v>
      </c>
      <c r="G13" s="482">
        <f t="shared" si="2"/>
        <v>1436</v>
      </c>
    </row>
    <row r="14" spans="1:7" x14ac:dyDescent="0.25">
      <c r="A14" s="4"/>
      <c r="B14" s="5" t="s">
        <v>10</v>
      </c>
      <c r="C14" s="186"/>
      <c r="D14" s="338">
        <f t="shared" si="0"/>
        <v>0</v>
      </c>
      <c r="E14" s="186"/>
      <c r="F14" s="184">
        <f t="shared" si="1"/>
        <v>0</v>
      </c>
      <c r="G14" s="482"/>
    </row>
    <row r="15" spans="1:7" x14ac:dyDescent="0.25">
      <c r="A15" s="4">
        <v>8</v>
      </c>
      <c r="B15" s="5" t="s">
        <v>11</v>
      </c>
      <c r="C15" s="186"/>
      <c r="D15" s="338">
        <f t="shared" si="0"/>
        <v>0</v>
      </c>
      <c r="E15" s="186">
        <v>10</v>
      </c>
      <c r="F15" s="184">
        <f t="shared" si="1"/>
        <v>3590</v>
      </c>
      <c r="G15" s="482">
        <f t="shared" si="2"/>
        <v>3590</v>
      </c>
    </row>
    <row r="16" spans="1:7" x14ac:dyDescent="0.25">
      <c r="A16" s="4">
        <v>9</v>
      </c>
      <c r="B16" s="5" t="s">
        <v>12</v>
      </c>
      <c r="C16" s="186"/>
      <c r="D16" s="338">
        <f t="shared" si="0"/>
        <v>0</v>
      </c>
      <c r="E16" s="186">
        <v>6</v>
      </c>
      <c r="F16" s="184">
        <f t="shared" si="1"/>
        <v>2154</v>
      </c>
      <c r="G16" s="482">
        <f t="shared" si="2"/>
        <v>2154</v>
      </c>
    </row>
    <row r="17" spans="1:7" x14ac:dyDescent="0.25">
      <c r="A17" s="4">
        <v>10</v>
      </c>
      <c r="B17" s="5" t="s">
        <v>13</v>
      </c>
      <c r="C17" s="108"/>
      <c r="D17" s="338">
        <f t="shared" si="0"/>
        <v>0</v>
      </c>
      <c r="E17" s="108">
        <v>27</v>
      </c>
      <c r="F17" s="184">
        <f t="shared" si="1"/>
        <v>9693</v>
      </c>
      <c r="G17" s="482">
        <f t="shared" si="2"/>
        <v>9693</v>
      </c>
    </row>
    <row r="18" spans="1:7" x14ac:dyDescent="0.25">
      <c r="A18" s="4">
        <v>11</v>
      </c>
      <c r="B18" s="5" t="s">
        <v>14</v>
      </c>
      <c r="C18" s="186"/>
      <c r="D18" s="338">
        <f t="shared" si="0"/>
        <v>0</v>
      </c>
      <c r="E18" s="186">
        <v>0</v>
      </c>
      <c r="F18" s="184">
        <f t="shared" si="1"/>
        <v>0</v>
      </c>
      <c r="G18" s="482">
        <f t="shared" si="2"/>
        <v>0</v>
      </c>
    </row>
    <row r="19" spans="1:7" x14ac:dyDescent="0.25">
      <c r="A19" s="4">
        <v>12</v>
      </c>
      <c r="B19" s="5" t="s">
        <v>15</v>
      </c>
      <c r="C19" s="186"/>
      <c r="D19" s="338">
        <f t="shared" si="0"/>
        <v>0</v>
      </c>
      <c r="E19" s="186">
        <v>0</v>
      </c>
      <c r="F19" s="184">
        <f t="shared" si="1"/>
        <v>0</v>
      </c>
      <c r="G19" s="482">
        <f t="shared" si="2"/>
        <v>0</v>
      </c>
    </row>
    <row r="20" spans="1:7" ht="15.75" thickBot="1" x14ac:dyDescent="0.3">
      <c r="A20" s="6">
        <v>13</v>
      </c>
      <c r="B20" s="7" t="s">
        <v>16</v>
      </c>
      <c r="C20" s="190"/>
      <c r="D20" s="338">
        <f t="shared" si="0"/>
        <v>0</v>
      </c>
      <c r="E20" s="190">
        <v>4</v>
      </c>
      <c r="F20" s="184">
        <f t="shared" si="1"/>
        <v>1436</v>
      </c>
      <c r="G20" s="482">
        <f t="shared" si="2"/>
        <v>1436</v>
      </c>
    </row>
    <row r="21" spans="1:7" ht="18" customHeight="1" thickBot="1" x14ac:dyDescent="0.3">
      <c r="A21" s="843" t="s">
        <v>17</v>
      </c>
      <c r="B21" s="844"/>
      <c r="C21" s="469">
        <f>SUM(C7:C20)</f>
        <v>63</v>
      </c>
      <c r="D21" s="195">
        <f>SUM(D7:D20)</f>
        <v>155988</v>
      </c>
      <c r="E21" s="66">
        <f>SUM(E7:E20)</f>
        <v>131</v>
      </c>
      <c r="F21" s="194">
        <f>SUM(F7:F20)</f>
        <v>47029</v>
      </c>
      <c r="G21" s="435">
        <f>SUM(G7:G20)</f>
        <v>203017</v>
      </c>
    </row>
    <row r="22" spans="1:7" x14ac:dyDescent="0.25">
      <c r="A22" s="2">
        <v>14</v>
      </c>
      <c r="B22" s="3" t="s">
        <v>18</v>
      </c>
      <c r="C22" s="186">
        <v>12</v>
      </c>
      <c r="D22" s="338">
        <f>C22*$D$6</f>
        <v>29712</v>
      </c>
      <c r="E22" s="186">
        <v>12</v>
      </c>
      <c r="F22" s="184">
        <f t="shared" si="1"/>
        <v>4308</v>
      </c>
      <c r="G22" s="482">
        <f t="shared" si="2"/>
        <v>34020</v>
      </c>
    </row>
    <row r="23" spans="1:7" x14ac:dyDescent="0.25">
      <c r="A23" s="4">
        <v>15</v>
      </c>
      <c r="B23" s="8" t="s">
        <v>19</v>
      </c>
      <c r="C23" s="186"/>
      <c r="D23" s="338">
        <f t="shared" si="0"/>
        <v>0</v>
      </c>
      <c r="E23" s="186">
        <v>5</v>
      </c>
      <c r="F23" s="184">
        <f t="shared" si="1"/>
        <v>1795</v>
      </c>
      <c r="G23" s="482">
        <f t="shared" si="2"/>
        <v>1795</v>
      </c>
    </row>
    <row r="24" spans="1:7" x14ac:dyDescent="0.25">
      <c r="A24" s="4">
        <v>16</v>
      </c>
      <c r="B24" s="9" t="s">
        <v>20</v>
      </c>
      <c r="C24" s="186"/>
      <c r="D24" s="338">
        <f t="shared" si="0"/>
        <v>0</v>
      </c>
      <c r="E24" s="186">
        <v>10</v>
      </c>
      <c r="F24" s="184">
        <f t="shared" si="1"/>
        <v>3590</v>
      </c>
      <c r="G24" s="482">
        <f t="shared" si="2"/>
        <v>3590</v>
      </c>
    </row>
    <row r="25" spans="1:7" x14ac:dyDescent="0.25">
      <c r="A25" s="4">
        <v>17</v>
      </c>
      <c r="B25" s="9" t="s">
        <v>21</v>
      </c>
      <c r="C25" s="186"/>
      <c r="D25" s="338">
        <f t="shared" si="0"/>
        <v>0</v>
      </c>
      <c r="E25" s="186">
        <v>0</v>
      </c>
      <c r="F25" s="184">
        <f t="shared" si="1"/>
        <v>0</v>
      </c>
      <c r="G25" s="482">
        <f t="shared" si="2"/>
        <v>0</v>
      </c>
    </row>
    <row r="26" spans="1:7" ht="15.75" thickBot="1" x14ac:dyDescent="0.3">
      <c r="A26" s="10">
        <v>18</v>
      </c>
      <c r="B26" s="11" t="s">
        <v>22</v>
      </c>
      <c r="C26" s="190"/>
      <c r="D26" s="338">
        <f t="shared" si="0"/>
        <v>0</v>
      </c>
      <c r="E26" s="190">
        <v>10</v>
      </c>
      <c r="F26" s="184">
        <f t="shared" si="1"/>
        <v>3590</v>
      </c>
      <c r="G26" s="482">
        <f t="shared" si="2"/>
        <v>3590</v>
      </c>
    </row>
    <row r="27" spans="1:7" ht="15.75" thickBot="1" x14ac:dyDescent="0.3">
      <c r="A27" s="845" t="s">
        <v>23</v>
      </c>
      <c r="B27" s="846"/>
      <c r="C27" s="196">
        <f>SUM(C22:C26)</f>
        <v>12</v>
      </c>
      <c r="D27" s="195">
        <f>SUM(D22:D26)</f>
        <v>29712</v>
      </c>
      <c r="E27" s="494">
        <f>SUM(E22:E26)</f>
        <v>37</v>
      </c>
      <c r="F27" s="194">
        <f>SUM(F22:F26)</f>
        <v>13283</v>
      </c>
      <c r="G27" s="198">
        <f>SUM(G22:G26)</f>
        <v>42995</v>
      </c>
    </row>
    <row r="28" spans="1:7" ht="15.75" thickBot="1" x14ac:dyDescent="0.3">
      <c r="A28" s="847" t="s">
        <v>24</v>
      </c>
      <c r="B28" s="848"/>
      <c r="C28" s="485">
        <f>SUM(C21+C27)</f>
        <v>75</v>
      </c>
      <c r="D28" s="204">
        <f>SUM(D21+D27)</f>
        <v>185700</v>
      </c>
      <c r="E28" s="82">
        <f>SUM(E21+E27)</f>
        <v>168</v>
      </c>
      <c r="F28" s="202">
        <f>SUM(F21+F27)</f>
        <v>60312</v>
      </c>
      <c r="G28" s="205">
        <f>SUM(G21+G27)</f>
        <v>246012</v>
      </c>
    </row>
    <row r="29" spans="1:7" ht="23.25" customHeight="1" thickBot="1" x14ac:dyDescent="0.3">
      <c r="A29" s="835" t="s">
        <v>249</v>
      </c>
      <c r="B29" s="836"/>
      <c r="C29" s="486"/>
      <c r="D29" s="338">
        <f>C29*$AP$7</f>
        <v>0</v>
      </c>
      <c r="E29" s="108"/>
      <c r="F29" s="45">
        <f>E29*F6</f>
        <v>0</v>
      </c>
      <c r="G29" s="487">
        <f>D29+F29</f>
        <v>0</v>
      </c>
    </row>
    <row r="30" spans="1:7" ht="15.75" thickBot="1" x14ac:dyDescent="0.3">
      <c r="A30" s="837" t="s">
        <v>248</v>
      </c>
      <c r="B30" s="838"/>
      <c r="C30" s="66">
        <f>SUM(C28+C29)</f>
        <v>75</v>
      </c>
      <c r="D30" s="103">
        <f>SUM(D28+D29)</f>
        <v>185700</v>
      </c>
      <c r="E30" s="66">
        <f>SUM(E28+E29)</f>
        <v>168</v>
      </c>
      <c r="F30" s="213">
        <f>SUM(F28+F29)</f>
        <v>60312</v>
      </c>
      <c r="G30" s="215">
        <f>SUM(G28+G29)</f>
        <v>246012</v>
      </c>
    </row>
    <row r="32" spans="1:7" ht="48" customHeight="1" x14ac:dyDescent="0.25">
      <c r="A32" s="746" t="s">
        <v>149</v>
      </c>
      <c r="B32" s="746"/>
      <c r="C32" s="746"/>
      <c r="D32" s="746"/>
      <c r="E32" s="746"/>
      <c r="F32" s="746"/>
      <c r="G32" s="746"/>
    </row>
  </sheetData>
  <mergeCells count="10">
    <mergeCell ref="A1:G1"/>
    <mergeCell ref="A32:G32"/>
    <mergeCell ref="A29:B29"/>
    <mergeCell ref="A30:B30"/>
    <mergeCell ref="A3:A4"/>
    <mergeCell ref="B3:B4"/>
    <mergeCell ref="C3:G3"/>
    <mergeCell ref="A21:B21"/>
    <mergeCell ref="A27:B27"/>
    <mergeCell ref="A28:B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5" workbookViewId="0">
      <selection activeCell="A39" sqref="A39:D39"/>
    </sheetView>
  </sheetViews>
  <sheetFormatPr defaultRowHeight="15" x14ac:dyDescent="0.25"/>
  <cols>
    <col min="1" max="1" width="3.28515625" customWidth="1"/>
    <col min="2" max="2" width="26.7109375" customWidth="1"/>
    <col min="3" max="3" width="10.42578125" customWidth="1"/>
    <col min="4" max="4" width="11.42578125" customWidth="1"/>
  </cols>
  <sheetData>
    <row r="1" spans="1:4" ht="71.25" customHeight="1" x14ac:dyDescent="0.25">
      <c r="A1" s="852" t="s">
        <v>147</v>
      </c>
      <c r="B1" s="852"/>
      <c r="C1" s="852"/>
      <c r="D1" s="852"/>
    </row>
    <row r="2" spans="1:4" ht="15.75" thickBot="1" x14ac:dyDescent="0.3">
      <c r="A2" s="496" t="s">
        <v>150</v>
      </c>
    </row>
    <row r="3" spans="1:4" x14ac:dyDescent="0.25">
      <c r="A3" s="839" t="s">
        <v>0</v>
      </c>
      <c r="B3" s="753" t="s">
        <v>151</v>
      </c>
      <c r="C3" s="742" t="s">
        <v>152</v>
      </c>
      <c r="D3" s="743"/>
    </row>
    <row r="4" spans="1:4" ht="43.5" thickBot="1" x14ac:dyDescent="0.3">
      <c r="A4" s="853"/>
      <c r="B4" s="854"/>
      <c r="C4" s="472" t="s">
        <v>114</v>
      </c>
      <c r="D4" s="157" t="s">
        <v>153</v>
      </c>
    </row>
    <row r="5" spans="1:4" x14ac:dyDescent="0.25">
      <c r="A5" s="500">
        <v>1</v>
      </c>
      <c r="B5" s="501">
        <v>2</v>
      </c>
      <c r="C5" s="682"/>
      <c r="D5" s="502"/>
    </row>
    <row r="6" spans="1:4" ht="16.5" customHeight="1" x14ac:dyDescent="0.25">
      <c r="A6" s="495"/>
      <c r="B6" s="499" t="s">
        <v>2</v>
      </c>
      <c r="C6" s="683"/>
      <c r="D6" s="503">
        <v>359</v>
      </c>
    </row>
    <row r="7" spans="1:4" x14ac:dyDescent="0.25">
      <c r="A7" s="4">
        <v>1</v>
      </c>
      <c r="B7" s="506" t="s">
        <v>201</v>
      </c>
      <c r="C7" s="665">
        <v>1</v>
      </c>
      <c r="D7" s="334">
        <f>C7*$D$6</f>
        <v>359</v>
      </c>
    </row>
    <row r="8" spans="1:4" x14ac:dyDescent="0.25">
      <c r="A8" s="4">
        <v>2</v>
      </c>
      <c r="B8" s="316" t="s">
        <v>202</v>
      </c>
      <c r="C8" s="561">
        <v>8</v>
      </c>
      <c r="D8" s="334">
        <f t="shared" ref="D8:D25" si="0">C8*$D$6</f>
        <v>2872</v>
      </c>
    </row>
    <row r="9" spans="1:4" x14ac:dyDescent="0.25">
      <c r="A9" s="4">
        <v>3</v>
      </c>
      <c r="B9" s="316" t="s">
        <v>203</v>
      </c>
      <c r="C9" s="561"/>
      <c r="D9" s="334">
        <f t="shared" si="0"/>
        <v>0</v>
      </c>
    </row>
    <row r="10" spans="1:4" x14ac:dyDescent="0.25">
      <c r="A10" s="4">
        <v>4</v>
      </c>
      <c r="B10" s="316" t="s">
        <v>204</v>
      </c>
      <c r="C10" s="561"/>
      <c r="D10" s="334">
        <f t="shared" si="0"/>
        <v>0</v>
      </c>
    </row>
    <row r="11" spans="1:4" x14ac:dyDescent="0.25">
      <c r="A11" s="4">
        <v>5</v>
      </c>
      <c r="B11" s="506" t="s">
        <v>223</v>
      </c>
      <c r="C11" s="561"/>
      <c r="D11" s="334">
        <f t="shared" si="0"/>
        <v>0</v>
      </c>
    </row>
    <row r="12" spans="1:4" x14ac:dyDescent="0.25">
      <c r="A12" s="4">
        <v>6</v>
      </c>
      <c r="B12" s="316" t="s">
        <v>224</v>
      </c>
      <c r="C12" s="561"/>
      <c r="D12" s="334">
        <f t="shared" si="0"/>
        <v>0</v>
      </c>
    </row>
    <row r="13" spans="1:4" x14ac:dyDescent="0.25">
      <c r="A13" s="4">
        <v>7</v>
      </c>
      <c r="B13" s="316" t="s">
        <v>225</v>
      </c>
      <c r="C13" s="561"/>
      <c r="D13" s="334">
        <f t="shared" si="0"/>
        <v>0</v>
      </c>
    </row>
    <row r="14" spans="1:4" x14ac:dyDescent="0.25">
      <c r="A14" s="4">
        <v>8</v>
      </c>
      <c r="B14" s="316" t="s">
        <v>226</v>
      </c>
      <c r="C14" s="561">
        <v>2</v>
      </c>
      <c r="D14" s="334">
        <f t="shared" si="0"/>
        <v>718</v>
      </c>
    </row>
    <row r="15" spans="1:4" x14ac:dyDescent="0.25">
      <c r="A15" s="4">
        <v>9</v>
      </c>
      <c r="B15" s="316" t="s">
        <v>227</v>
      </c>
      <c r="C15" s="561"/>
      <c r="D15" s="334">
        <f t="shared" si="0"/>
        <v>0</v>
      </c>
    </row>
    <row r="16" spans="1:4" x14ac:dyDescent="0.25">
      <c r="A16" s="4">
        <v>10</v>
      </c>
      <c r="B16" s="316" t="s">
        <v>228</v>
      </c>
      <c r="C16" s="561">
        <v>2</v>
      </c>
      <c r="D16" s="334">
        <f t="shared" si="0"/>
        <v>718</v>
      </c>
    </row>
    <row r="17" spans="1:4" x14ac:dyDescent="0.25">
      <c r="A17" s="4">
        <v>11</v>
      </c>
      <c r="B17" s="316" t="s">
        <v>229</v>
      </c>
      <c r="C17" s="561">
        <v>1</v>
      </c>
      <c r="D17" s="334">
        <f t="shared" si="0"/>
        <v>359</v>
      </c>
    </row>
    <row r="18" spans="1:4" x14ac:dyDescent="0.25">
      <c r="A18" s="4">
        <v>12</v>
      </c>
      <c r="B18" s="316" t="s">
        <v>230</v>
      </c>
      <c r="C18" s="561">
        <v>2</v>
      </c>
      <c r="D18" s="334">
        <f t="shared" si="0"/>
        <v>718</v>
      </c>
    </row>
    <row r="19" spans="1:4" x14ac:dyDescent="0.25">
      <c r="A19" s="4">
        <v>13</v>
      </c>
      <c r="B19" s="316" t="s">
        <v>231</v>
      </c>
      <c r="C19" s="561">
        <v>2</v>
      </c>
      <c r="D19" s="334">
        <f t="shared" si="0"/>
        <v>718</v>
      </c>
    </row>
    <row r="20" spans="1:4" x14ac:dyDescent="0.25">
      <c r="A20" s="4">
        <v>14</v>
      </c>
      <c r="B20" s="316" t="s">
        <v>232</v>
      </c>
      <c r="C20" s="573">
        <v>3</v>
      </c>
      <c r="D20" s="334">
        <f t="shared" si="0"/>
        <v>1077</v>
      </c>
    </row>
    <row r="21" spans="1:4" x14ac:dyDescent="0.25">
      <c r="A21" s="4">
        <v>15</v>
      </c>
      <c r="B21" s="316" t="s">
        <v>233</v>
      </c>
      <c r="C21" s="573"/>
      <c r="D21" s="334">
        <f t="shared" si="0"/>
        <v>0</v>
      </c>
    </row>
    <row r="22" spans="1:4" x14ac:dyDescent="0.25">
      <c r="A22" s="4">
        <v>16</v>
      </c>
      <c r="B22" s="316" t="s">
        <v>234</v>
      </c>
      <c r="C22" s="573"/>
      <c r="D22" s="334">
        <f t="shared" si="0"/>
        <v>0</v>
      </c>
    </row>
    <row r="23" spans="1:4" x14ac:dyDescent="0.25">
      <c r="A23" s="4">
        <v>17</v>
      </c>
      <c r="B23" s="316" t="s">
        <v>235</v>
      </c>
      <c r="C23" s="561"/>
      <c r="D23" s="334">
        <f t="shared" si="0"/>
        <v>0</v>
      </c>
    </row>
    <row r="24" spans="1:4" x14ac:dyDescent="0.25">
      <c r="A24" s="4">
        <v>18</v>
      </c>
      <c r="B24" s="506" t="s">
        <v>236</v>
      </c>
      <c r="C24" s="561"/>
      <c r="D24" s="334">
        <f t="shared" si="0"/>
        <v>0</v>
      </c>
    </row>
    <row r="25" spans="1:4" x14ac:dyDescent="0.25">
      <c r="A25" s="4">
        <v>19</v>
      </c>
      <c r="B25" s="316" t="s">
        <v>206</v>
      </c>
      <c r="C25" s="561"/>
      <c r="D25" s="334">
        <f t="shared" si="0"/>
        <v>0</v>
      </c>
    </row>
    <row r="26" spans="1:4" x14ac:dyDescent="0.25">
      <c r="A26" s="4">
        <v>20</v>
      </c>
      <c r="B26" s="506" t="s">
        <v>237</v>
      </c>
      <c r="C26" s="561"/>
      <c r="D26" s="334"/>
    </row>
    <row r="27" spans="1:4" x14ac:dyDescent="0.25">
      <c r="A27" s="4">
        <v>21</v>
      </c>
      <c r="B27" s="316" t="s">
        <v>238</v>
      </c>
      <c r="C27" s="561"/>
      <c r="D27" s="334"/>
    </row>
    <row r="28" spans="1:4" x14ac:dyDescent="0.25">
      <c r="A28" s="4">
        <v>22</v>
      </c>
      <c r="B28" s="316" t="s">
        <v>239</v>
      </c>
      <c r="C28" s="561"/>
      <c r="D28" s="334"/>
    </row>
    <row r="29" spans="1:4" x14ac:dyDescent="0.25">
      <c r="A29" s="4">
        <v>23</v>
      </c>
      <c r="B29" s="316" t="s">
        <v>240</v>
      </c>
      <c r="C29" s="561"/>
      <c r="D29" s="334"/>
    </row>
    <row r="30" spans="1:4" x14ac:dyDescent="0.25">
      <c r="A30" s="4">
        <v>24</v>
      </c>
      <c r="B30" s="316" t="s">
        <v>241</v>
      </c>
      <c r="C30" s="561"/>
      <c r="D30" s="334"/>
    </row>
    <row r="31" spans="1:4" x14ac:dyDescent="0.25">
      <c r="A31" s="4">
        <v>25</v>
      </c>
      <c r="B31" s="316" t="s">
        <v>242</v>
      </c>
      <c r="C31" s="561"/>
      <c r="D31" s="334"/>
    </row>
    <row r="32" spans="1:4" x14ac:dyDescent="0.25">
      <c r="A32" s="4">
        <v>26</v>
      </c>
      <c r="B32" s="316" t="s">
        <v>243</v>
      </c>
      <c r="C32" s="561"/>
      <c r="D32" s="334"/>
    </row>
    <row r="33" spans="1:4" x14ac:dyDescent="0.25">
      <c r="A33" s="4">
        <v>27</v>
      </c>
      <c r="B33" s="316" t="s">
        <v>244</v>
      </c>
      <c r="C33" s="561"/>
      <c r="D33" s="334"/>
    </row>
    <row r="34" spans="1:4" ht="15.75" thickBot="1" x14ac:dyDescent="0.3">
      <c r="A34" s="6">
        <v>28</v>
      </c>
      <c r="B34" s="529" t="s">
        <v>245</v>
      </c>
      <c r="C34" s="680"/>
      <c r="D34" s="681"/>
    </row>
    <row r="35" spans="1:4" ht="15.75" thickBot="1" x14ac:dyDescent="0.3">
      <c r="A35" s="855" t="s">
        <v>246</v>
      </c>
      <c r="B35" s="856"/>
      <c r="C35" s="581">
        <f t="shared" ref="C35" si="1">SUM(C7:C34)</f>
        <v>21</v>
      </c>
      <c r="D35" s="206">
        <f>SUM(D7:D25)</f>
        <v>7539</v>
      </c>
    </row>
    <row r="36" spans="1:4" ht="15.75" thickBot="1" x14ac:dyDescent="0.3">
      <c r="A36" s="832" t="s">
        <v>146</v>
      </c>
      <c r="B36" s="849"/>
      <c r="C36" s="684">
        <v>12</v>
      </c>
      <c r="D36" s="483">
        <f>C36*D6</f>
        <v>4308</v>
      </c>
    </row>
    <row r="37" spans="1:4" ht="15.75" thickBot="1" x14ac:dyDescent="0.3">
      <c r="A37" s="850" t="s">
        <v>247</v>
      </c>
      <c r="B37" s="851"/>
      <c r="C37" s="685">
        <f>C35+C36</f>
        <v>33</v>
      </c>
      <c r="D37" s="103">
        <f>SUM(D35+D36)</f>
        <v>11847</v>
      </c>
    </row>
    <row r="39" spans="1:4" ht="48" customHeight="1" x14ac:dyDescent="0.25">
      <c r="A39" s="746" t="s">
        <v>149</v>
      </c>
      <c r="B39" s="746"/>
      <c r="C39" s="746"/>
      <c r="D39" s="746"/>
    </row>
  </sheetData>
  <mergeCells count="8">
    <mergeCell ref="A36:B36"/>
    <mergeCell ref="A37:B37"/>
    <mergeCell ref="A1:D1"/>
    <mergeCell ref="A39:D39"/>
    <mergeCell ref="A3:A4"/>
    <mergeCell ref="B3:B4"/>
    <mergeCell ref="C3:D3"/>
    <mergeCell ref="A35:B35"/>
  </mergeCells>
  <pageMargins left="0.7" right="0.7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75" zoomScaleNormal="75" workbookViewId="0">
      <selection activeCell="G15" sqref="G15"/>
    </sheetView>
  </sheetViews>
  <sheetFormatPr defaultRowHeight="15" x14ac:dyDescent="0.25"/>
  <cols>
    <col min="1" max="1" width="3.140625" customWidth="1"/>
    <col min="2" max="2" width="22.28515625" customWidth="1"/>
    <col min="3" max="3" width="7.28515625" customWidth="1"/>
    <col min="4" max="4" width="5.85546875" customWidth="1"/>
    <col min="5" max="5" width="5.7109375" customWidth="1"/>
    <col min="6" max="6" width="5.140625" customWidth="1"/>
    <col min="7" max="7" width="5.28515625" customWidth="1"/>
    <col min="8" max="8" width="6.28515625" customWidth="1"/>
    <col min="9" max="9" width="6.7109375" customWidth="1"/>
    <col min="10" max="10" width="5.28515625" customWidth="1"/>
    <col min="11" max="11" width="8.140625" customWidth="1"/>
    <col min="12" max="12" width="7.85546875" customWidth="1"/>
    <col min="13" max="13" width="7" customWidth="1"/>
    <col min="14" max="14" width="7.140625" customWidth="1"/>
    <col min="15" max="15" width="9.28515625" customWidth="1"/>
    <col min="16" max="16" width="8.85546875" customWidth="1"/>
    <col min="17" max="17" width="8" customWidth="1"/>
    <col min="18" max="18" width="9.28515625" customWidth="1"/>
    <col min="19" max="19" width="10.42578125" customWidth="1"/>
    <col min="20" max="20" width="10.85546875" customWidth="1"/>
    <col min="21" max="21" width="10.7109375" customWidth="1"/>
    <col min="22" max="22" width="8.7109375" customWidth="1"/>
    <col min="23" max="23" width="8" customWidth="1"/>
    <col min="24" max="24" width="8.140625" customWidth="1"/>
    <col min="25" max="26" width="7.85546875" customWidth="1"/>
    <col min="27" max="27" width="11" customWidth="1"/>
    <col min="28" max="28" width="6.7109375" customWidth="1"/>
    <col min="29" max="29" width="10.5703125" bestFit="1" customWidth="1"/>
    <col min="30" max="30" width="8.140625" customWidth="1"/>
    <col min="31" max="31" width="10.42578125" customWidth="1"/>
    <col min="240" max="240" width="3.140625" customWidth="1"/>
    <col min="241" max="241" width="15.7109375" customWidth="1"/>
    <col min="242" max="242" width="6.42578125" customWidth="1"/>
    <col min="243" max="243" width="4.7109375" customWidth="1"/>
    <col min="244" max="244" width="6.42578125" customWidth="1"/>
    <col min="245" max="245" width="7.28515625" customWidth="1"/>
    <col min="246" max="246" width="5.85546875" customWidth="1"/>
    <col min="247" max="247" width="5.7109375" customWidth="1"/>
    <col min="248" max="248" width="5.140625" customWidth="1"/>
    <col min="249" max="249" width="5.28515625" customWidth="1"/>
    <col min="250" max="250" width="7.140625" customWidth="1"/>
    <col min="251" max="251" width="7.85546875" customWidth="1"/>
    <col min="252" max="252" width="5.28515625" customWidth="1"/>
    <col min="253" max="253" width="9.5703125" customWidth="1"/>
    <col min="254" max="254" width="8.85546875" customWidth="1"/>
    <col min="255" max="255" width="7" customWidth="1"/>
    <col min="256" max="256" width="7.140625" customWidth="1"/>
    <col min="257" max="257" width="9.28515625" customWidth="1"/>
    <col min="258" max="258" width="8.85546875" customWidth="1"/>
    <col min="259" max="259" width="8" customWidth="1"/>
    <col min="260" max="260" width="9.28515625" customWidth="1"/>
    <col min="261" max="262" width="10.85546875" customWidth="1"/>
    <col min="263" max="263" width="10.7109375" customWidth="1"/>
    <col min="264" max="264" width="8.7109375" customWidth="1"/>
    <col min="265" max="265" width="8" customWidth="1"/>
    <col min="266" max="266" width="8.140625" customWidth="1"/>
    <col min="267" max="268" width="7.85546875" customWidth="1"/>
    <col min="269" max="269" width="11" customWidth="1"/>
    <col min="270" max="270" width="6.7109375" customWidth="1"/>
    <col min="271" max="271" width="10.5703125" bestFit="1" customWidth="1"/>
    <col min="272" max="272" width="10.5703125" customWidth="1"/>
    <col min="273" max="273" width="8.140625" customWidth="1"/>
    <col min="274" max="274" width="6.7109375" customWidth="1"/>
    <col min="275" max="275" width="10.42578125" customWidth="1"/>
    <col min="276" max="276" width="10" customWidth="1"/>
    <col min="277" max="277" width="8.42578125" customWidth="1"/>
    <col min="278" max="278" width="8.5703125" customWidth="1"/>
    <col min="279" max="279" width="6.85546875" customWidth="1"/>
    <col min="280" max="280" width="8.85546875" customWidth="1"/>
    <col min="281" max="281" width="6.42578125" customWidth="1"/>
    <col min="282" max="282" width="9.85546875" customWidth="1"/>
    <col min="283" max="283" width="10.140625" customWidth="1"/>
    <col min="284" max="284" width="10.5703125" customWidth="1"/>
    <col min="496" max="496" width="3.140625" customWidth="1"/>
    <col min="497" max="497" width="15.7109375" customWidth="1"/>
    <col min="498" max="498" width="6.42578125" customWidth="1"/>
    <col min="499" max="499" width="4.7109375" customWidth="1"/>
    <col min="500" max="500" width="6.42578125" customWidth="1"/>
    <col min="501" max="501" width="7.28515625" customWidth="1"/>
    <col min="502" max="502" width="5.85546875" customWidth="1"/>
    <col min="503" max="503" width="5.7109375" customWidth="1"/>
    <col min="504" max="504" width="5.140625" customWidth="1"/>
    <col min="505" max="505" width="5.28515625" customWidth="1"/>
    <col min="506" max="506" width="7.140625" customWidth="1"/>
    <col min="507" max="507" width="7.85546875" customWidth="1"/>
    <col min="508" max="508" width="5.28515625" customWidth="1"/>
    <col min="509" max="509" width="9.5703125" customWidth="1"/>
    <col min="510" max="510" width="8.85546875" customWidth="1"/>
    <col min="511" max="511" width="7" customWidth="1"/>
    <col min="512" max="512" width="7.140625" customWidth="1"/>
    <col min="513" max="513" width="9.28515625" customWidth="1"/>
    <col min="514" max="514" width="8.85546875" customWidth="1"/>
    <col min="515" max="515" width="8" customWidth="1"/>
    <col min="516" max="516" width="9.28515625" customWidth="1"/>
    <col min="517" max="518" width="10.85546875" customWidth="1"/>
    <col min="519" max="519" width="10.7109375" customWidth="1"/>
    <col min="520" max="520" width="8.7109375" customWidth="1"/>
    <col min="521" max="521" width="8" customWidth="1"/>
    <col min="522" max="522" width="8.140625" customWidth="1"/>
    <col min="523" max="524" width="7.85546875" customWidth="1"/>
    <col min="525" max="525" width="11" customWidth="1"/>
    <col min="526" max="526" width="6.7109375" customWidth="1"/>
    <col min="527" max="527" width="10.5703125" bestFit="1" customWidth="1"/>
    <col min="528" max="528" width="10.5703125" customWidth="1"/>
    <col min="529" max="529" width="8.140625" customWidth="1"/>
    <col min="530" max="530" width="6.7109375" customWidth="1"/>
    <col min="531" max="531" width="10.42578125" customWidth="1"/>
    <col min="532" max="532" width="10" customWidth="1"/>
    <col min="533" max="533" width="8.42578125" customWidth="1"/>
    <col min="534" max="534" width="8.5703125" customWidth="1"/>
    <col min="535" max="535" width="6.85546875" customWidth="1"/>
    <col min="536" max="536" width="8.85546875" customWidth="1"/>
    <col min="537" max="537" width="6.42578125" customWidth="1"/>
    <col min="538" max="538" width="9.85546875" customWidth="1"/>
    <col min="539" max="539" width="10.140625" customWidth="1"/>
    <col min="540" max="540" width="10.5703125" customWidth="1"/>
    <col min="752" max="752" width="3.140625" customWidth="1"/>
    <col min="753" max="753" width="15.7109375" customWidth="1"/>
    <col min="754" max="754" width="6.42578125" customWidth="1"/>
    <col min="755" max="755" width="4.7109375" customWidth="1"/>
    <col min="756" max="756" width="6.42578125" customWidth="1"/>
    <col min="757" max="757" width="7.28515625" customWidth="1"/>
    <col min="758" max="758" width="5.85546875" customWidth="1"/>
    <col min="759" max="759" width="5.7109375" customWidth="1"/>
    <col min="760" max="760" width="5.140625" customWidth="1"/>
    <col min="761" max="761" width="5.28515625" customWidth="1"/>
    <col min="762" max="762" width="7.140625" customWidth="1"/>
    <col min="763" max="763" width="7.85546875" customWidth="1"/>
    <col min="764" max="764" width="5.28515625" customWidth="1"/>
    <col min="765" max="765" width="9.5703125" customWidth="1"/>
    <col min="766" max="766" width="8.85546875" customWidth="1"/>
    <col min="767" max="767" width="7" customWidth="1"/>
    <col min="768" max="768" width="7.140625" customWidth="1"/>
    <col min="769" max="769" width="9.28515625" customWidth="1"/>
    <col min="770" max="770" width="8.85546875" customWidth="1"/>
    <col min="771" max="771" width="8" customWidth="1"/>
    <col min="772" max="772" width="9.28515625" customWidth="1"/>
    <col min="773" max="774" width="10.85546875" customWidth="1"/>
    <col min="775" max="775" width="10.7109375" customWidth="1"/>
    <col min="776" max="776" width="8.7109375" customWidth="1"/>
    <col min="777" max="777" width="8" customWidth="1"/>
    <col min="778" max="778" width="8.140625" customWidth="1"/>
    <col min="779" max="780" width="7.85546875" customWidth="1"/>
    <col min="781" max="781" width="11" customWidth="1"/>
    <col min="782" max="782" width="6.7109375" customWidth="1"/>
    <col min="783" max="783" width="10.5703125" bestFit="1" customWidth="1"/>
    <col min="784" max="784" width="10.5703125" customWidth="1"/>
    <col min="785" max="785" width="8.140625" customWidth="1"/>
    <col min="786" max="786" width="6.7109375" customWidth="1"/>
    <col min="787" max="787" width="10.42578125" customWidth="1"/>
    <col min="788" max="788" width="10" customWidth="1"/>
    <col min="789" max="789" width="8.42578125" customWidth="1"/>
    <col min="790" max="790" width="8.5703125" customWidth="1"/>
    <col min="791" max="791" width="6.85546875" customWidth="1"/>
    <col min="792" max="792" width="8.85546875" customWidth="1"/>
    <col min="793" max="793" width="6.42578125" customWidth="1"/>
    <col min="794" max="794" width="9.85546875" customWidth="1"/>
    <col min="795" max="795" width="10.140625" customWidth="1"/>
    <col min="796" max="796" width="10.5703125" customWidth="1"/>
    <col min="1008" max="1008" width="3.140625" customWidth="1"/>
    <col min="1009" max="1009" width="15.7109375" customWidth="1"/>
    <col min="1010" max="1010" width="6.42578125" customWidth="1"/>
    <col min="1011" max="1011" width="4.7109375" customWidth="1"/>
    <col min="1012" max="1012" width="6.42578125" customWidth="1"/>
    <col min="1013" max="1013" width="7.28515625" customWidth="1"/>
    <col min="1014" max="1014" width="5.85546875" customWidth="1"/>
    <col min="1015" max="1015" width="5.7109375" customWidth="1"/>
    <col min="1016" max="1016" width="5.140625" customWidth="1"/>
    <col min="1017" max="1017" width="5.28515625" customWidth="1"/>
    <col min="1018" max="1018" width="7.140625" customWidth="1"/>
    <col min="1019" max="1019" width="7.85546875" customWidth="1"/>
    <col min="1020" max="1020" width="5.28515625" customWidth="1"/>
    <col min="1021" max="1021" width="9.5703125" customWidth="1"/>
    <col min="1022" max="1022" width="8.85546875" customWidth="1"/>
    <col min="1023" max="1023" width="7" customWidth="1"/>
    <col min="1024" max="1024" width="7.140625" customWidth="1"/>
    <col min="1025" max="1025" width="9.28515625" customWidth="1"/>
    <col min="1026" max="1026" width="8.85546875" customWidth="1"/>
    <col min="1027" max="1027" width="8" customWidth="1"/>
    <col min="1028" max="1028" width="9.28515625" customWidth="1"/>
    <col min="1029" max="1030" width="10.85546875" customWidth="1"/>
    <col min="1031" max="1031" width="10.7109375" customWidth="1"/>
    <col min="1032" max="1032" width="8.7109375" customWidth="1"/>
    <col min="1033" max="1033" width="8" customWidth="1"/>
    <col min="1034" max="1034" width="8.140625" customWidth="1"/>
    <col min="1035" max="1036" width="7.85546875" customWidth="1"/>
    <col min="1037" max="1037" width="11" customWidth="1"/>
    <col min="1038" max="1038" width="6.7109375" customWidth="1"/>
    <col min="1039" max="1039" width="10.5703125" bestFit="1" customWidth="1"/>
    <col min="1040" max="1040" width="10.5703125" customWidth="1"/>
    <col min="1041" max="1041" width="8.140625" customWidth="1"/>
    <col min="1042" max="1042" width="6.7109375" customWidth="1"/>
    <col min="1043" max="1043" width="10.42578125" customWidth="1"/>
    <col min="1044" max="1044" width="10" customWidth="1"/>
    <col min="1045" max="1045" width="8.42578125" customWidth="1"/>
    <col min="1046" max="1046" width="8.5703125" customWidth="1"/>
    <col min="1047" max="1047" width="6.85546875" customWidth="1"/>
    <col min="1048" max="1048" width="8.85546875" customWidth="1"/>
    <col min="1049" max="1049" width="6.42578125" customWidth="1"/>
    <col min="1050" max="1050" width="9.85546875" customWidth="1"/>
    <col min="1051" max="1051" width="10.140625" customWidth="1"/>
    <col min="1052" max="1052" width="10.5703125" customWidth="1"/>
    <col min="1264" max="1264" width="3.140625" customWidth="1"/>
    <col min="1265" max="1265" width="15.7109375" customWidth="1"/>
    <col min="1266" max="1266" width="6.42578125" customWidth="1"/>
    <col min="1267" max="1267" width="4.7109375" customWidth="1"/>
    <col min="1268" max="1268" width="6.42578125" customWidth="1"/>
    <col min="1269" max="1269" width="7.28515625" customWidth="1"/>
    <col min="1270" max="1270" width="5.85546875" customWidth="1"/>
    <col min="1271" max="1271" width="5.7109375" customWidth="1"/>
    <col min="1272" max="1272" width="5.140625" customWidth="1"/>
    <col min="1273" max="1273" width="5.28515625" customWidth="1"/>
    <col min="1274" max="1274" width="7.140625" customWidth="1"/>
    <col min="1275" max="1275" width="7.85546875" customWidth="1"/>
    <col min="1276" max="1276" width="5.28515625" customWidth="1"/>
    <col min="1277" max="1277" width="9.5703125" customWidth="1"/>
    <col min="1278" max="1278" width="8.85546875" customWidth="1"/>
    <col min="1279" max="1279" width="7" customWidth="1"/>
    <col min="1280" max="1280" width="7.140625" customWidth="1"/>
    <col min="1281" max="1281" width="9.28515625" customWidth="1"/>
    <col min="1282" max="1282" width="8.85546875" customWidth="1"/>
    <col min="1283" max="1283" width="8" customWidth="1"/>
    <col min="1284" max="1284" width="9.28515625" customWidth="1"/>
    <col min="1285" max="1286" width="10.85546875" customWidth="1"/>
    <col min="1287" max="1287" width="10.7109375" customWidth="1"/>
    <col min="1288" max="1288" width="8.7109375" customWidth="1"/>
    <col min="1289" max="1289" width="8" customWidth="1"/>
    <col min="1290" max="1290" width="8.140625" customWidth="1"/>
    <col min="1291" max="1292" width="7.85546875" customWidth="1"/>
    <col min="1293" max="1293" width="11" customWidth="1"/>
    <col min="1294" max="1294" width="6.7109375" customWidth="1"/>
    <col min="1295" max="1295" width="10.5703125" bestFit="1" customWidth="1"/>
    <col min="1296" max="1296" width="10.5703125" customWidth="1"/>
    <col min="1297" max="1297" width="8.140625" customWidth="1"/>
    <col min="1298" max="1298" width="6.7109375" customWidth="1"/>
    <col min="1299" max="1299" width="10.42578125" customWidth="1"/>
    <col min="1300" max="1300" width="10" customWidth="1"/>
    <col min="1301" max="1301" width="8.42578125" customWidth="1"/>
    <col min="1302" max="1302" width="8.5703125" customWidth="1"/>
    <col min="1303" max="1303" width="6.85546875" customWidth="1"/>
    <col min="1304" max="1304" width="8.85546875" customWidth="1"/>
    <col min="1305" max="1305" width="6.42578125" customWidth="1"/>
    <col min="1306" max="1306" width="9.85546875" customWidth="1"/>
    <col min="1307" max="1307" width="10.140625" customWidth="1"/>
    <col min="1308" max="1308" width="10.5703125" customWidth="1"/>
    <col min="1520" max="1520" width="3.140625" customWidth="1"/>
    <col min="1521" max="1521" width="15.7109375" customWidth="1"/>
    <col min="1522" max="1522" width="6.42578125" customWidth="1"/>
    <col min="1523" max="1523" width="4.7109375" customWidth="1"/>
    <col min="1524" max="1524" width="6.42578125" customWidth="1"/>
    <col min="1525" max="1525" width="7.28515625" customWidth="1"/>
    <col min="1526" max="1526" width="5.85546875" customWidth="1"/>
    <col min="1527" max="1527" width="5.7109375" customWidth="1"/>
    <col min="1528" max="1528" width="5.140625" customWidth="1"/>
    <col min="1529" max="1529" width="5.28515625" customWidth="1"/>
    <col min="1530" max="1530" width="7.140625" customWidth="1"/>
    <col min="1531" max="1531" width="7.85546875" customWidth="1"/>
    <col min="1532" max="1532" width="5.28515625" customWidth="1"/>
    <col min="1533" max="1533" width="9.5703125" customWidth="1"/>
    <col min="1534" max="1534" width="8.85546875" customWidth="1"/>
    <col min="1535" max="1535" width="7" customWidth="1"/>
    <col min="1536" max="1536" width="7.140625" customWidth="1"/>
    <col min="1537" max="1537" width="9.28515625" customWidth="1"/>
    <col min="1538" max="1538" width="8.85546875" customWidth="1"/>
    <col min="1539" max="1539" width="8" customWidth="1"/>
    <col min="1540" max="1540" width="9.28515625" customWidth="1"/>
    <col min="1541" max="1542" width="10.85546875" customWidth="1"/>
    <col min="1543" max="1543" width="10.7109375" customWidth="1"/>
    <col min="1544" max="1544" width="8.7109375" customWidth="1"/>
    <col min="1545" max="1545" width="8" customWidth="1"/>
    <col min="1546" max="1546" width="8.140625" customWidth="1"/>
    <col min="1547" max="1548" width="7.85546875" customWidth="1"/>
    <col min="1549" max="1549" width="11" customWidth="1"/>
    <col min="1550" max="1550" width="6.7109375" customWidth="1"/>
    <col min="1551" max="1551" width="10.5703125" bestFit="1" customWidth="1"/>
    <col min="1552" max="1552" width="10.5703125" customWidth="1"/>
    <col min="1553" max="1553" width="8.140625" customWidth="1"/>
    <col min="1554" max="1554" width="6.7109375" customWidth="1"/>
    <col min="1555" max="1555" width="10.42578125" customWidth="1"/>
    <col min="1556" max="1556" width="10" customWidth="1"/>
    <col min="1557" max="1557" width="8.42578125" customWidth="1"/>
    <col min="1558" max="1558" width="8.5703125" customWidth="1"/>
    <col min="1559" max="1559" width="6.85546875" customWidth="1"/>
    <col min="1560" max="1560" width="8.85546875" customWidth="1"/>
    <col min="1561" max="1561" width="6.42578125" customWidth="1"/>
    <col min="1562" max="1562" width="9.85546875" customWidth="1"/>
    <col min="1563" max="1563" width="10.140625" customWidth="1"/>
    <col min="1564" max="1564" width="10.5703125" customWidth="1"/>
    <col min="1776" max="1776" width="3.140625" customWidth="1"/>
    <col min="1777" max="1777" width="15.7109375" customWidth="1"/>
    <col min="1778" max="1778" width="6.42578125" customWidth="1"/>
    <col min="1779" max="1779" width="4.7109375" customWidth="1"/>
    <col min="1780" max="1780" width="6.42578125" customWidth="1"/>
    <col min="1781" max="1781" width="7.28515625" customWidth="1"/>
    <col min="1782" max="1782" width="5.85546875" customWidth="1"/>
    <col min="1783" max="1783" width="5.7109375" customWidth="1"/>
    <col min="1784" max="1784" width="5.140625" customWidth="1"/>
    <col min="1785" max="1785" width="5.28515625" customWidth="1"/>
    <col min="1786" max="1786" width="7.140625" customWidth="1"/>
    <col min="1787" max="1787" width="7.85546875" customWidth="1"/>
    <col min="1788" max="1788" width="5.28515625" customWidth="1"/>
    <col min="1789" max="1789" width="9.5703125" customWidth="1"/>
    <col min="1790" max="1790" width="8.85546875" customWidth="1"/>
    <col min="1791" max="1791" width="7" customWidth="1"/>
    <col min="1792" max="1792" width="7.140625" customWidth="1"/>
    <col min="1793" max="1793" width="9.28515625" customWidth="1"/>
    <col min="1794" max="1794" width="8.85546875" customWidth="1"/>
    <col min="1795" max="1795" width="8" customWidth="1"/>
    <col min="1796" max="1796" width="9.28515625" customWidth="1"/>
    <col min="1797" max="1798" width="10.85546875" customWidth="1"/>
    <col min="1799" max="1799" width="10.7109375" customWidth="1"/>
    <col min="1800" max="1800" width="8.7109375" customWidth="1"/>
    <col min="1801" max="1801" width="8" customWidth="1"/>
    <col min="1802" max="1802" width="8.140625" customWidth="1"/>
    <col min="1803" max="1804" width="7.85546875" customWidth="1"/>
    <col min="1805" max="1805" width="11" customWidth="1"/>
    <col min="1806" max="1806" width="6.7109375" customWidth="1"/>
    <col min="1807" max="1807" width="10.5703125" bestFit="1" customWidth="1"/>
    <col min="1808" max="1808" width="10.5703125" customWidth="1"/>
    <col min="1809" max="1809" width="8.140625" customWidth="1"/>
    <col min="1810" max="1810" width="6.7109375" customWidth="1"/>
    <col min="1811" max="1811" width="10.42578125" customWidth="1"/>
    <col min="1812" max="1812" width="10" customWidth="1"/>
    <col min="1813" max="1813" width="8.42578125" customWidth="1"/>
    <col min="1814" max="1814" width="8.5703125" customWidth="1"/>
    <col min="1815" max="1815" width="6.85546875" customWidth="1"/>
    <col min="1816" max="1816" width="8.85546875" customWidth="1"/>
    <col min="1817" max="1817" width="6.42578125" customWidth="1"/>
    <col min="1818" max="1818" width="9.85546875" customWidth="1"/>
    <col min="1819" max="1819" width="10.140625" customWidth="1"/>
    <col min="1820" max="1820" width="10.5703125" customWidth="1"/>
    <col min="2032" max="2032" width="3.140625" customWidth="1"/>
    <col min="2033" max="2033" width="15.7109375" customWidth="1"/>
    <col min="2034" max="2034" width="6.42578125" customWidth="1"/>
    <col min="2035" max="2035" width="4.7109375" customWidth="1"/>
    <col min="2036" max="2036" width="6.42578125" customWidth="1"/>
    <col min="2037" max="2037" width="7.28515625" customWidth="1"/>
    <col min="2038" max="2038" width="5.85546875" customWidth="1"/>
    <col min="2039" max="2039" width="5.7109375" customWidth="1"/>
    <col min="2040" max="2040" width="5.140625" customWidth="1"/>
    <col min="2041" max="2041" width="5.28515625" customWidth="1"/>
    <col min="2042" max="2042" width="7.140625" customWidth="1"/>
    <col min="2043" max="2043" width="7.85546875" customWidth="1"/>
    <col min="2044" max="2044" width="5.28515625" customWidth="1"/>
    <col min="2045" max="2045" width="9.5703125" customWidth="1"/>
    <col min="2046" max="2046" width="8.85546875" customWidth="1"/>
    <col min="2047" max="2047" width="7" customWidth="1"/>
    <col min="2048" max="2048" width="7.140625" customWidth="1"/>
    <col min="2049" max="2049" width="9.28515625" customWidth="1"/>
    <col min="2050" max="2050" width="8.85546875" customWidth="1"/>
    <col min="2051" max="2051" width="8" customWidth="1"/>
    <col min="2052" max="2052" width="9.28515625" customWidth="1"/>
    <col min="2053" max="2054" width="10.85546875" customWidth="1"/>
    <col min="2055" max="2055" width="10.7109375" customWidth="1"/>
    <col min="2056" max="2056" width="8.7109375" customWidth="1"/>
    <col min="2057" max="2057" width="8" customWidth="1"/>
    <col min="2058" max="2058" width="8.140625" customWidth="1"/>
    <col min="2059" max="2060" width="7.85546875" customWidth="1"/>
    <col min="2061" max="2061" width="11" customWidth="1"/>
    <col min="2062" max="2062" width="6.7109375" customWidth="1"/>
    <col min="2063" max="2063" width="10.5703125" bestFit="1" customWidth="1"/>
    <col min="2064" max="2064" width="10.5703125" customWidth="1"/>
    <col min="2065" max="2065" width="8.140625" customWidth="1"/>
    <col min="2066" max="2066" width="6.7109375" customWidth="1"/>
    <col min="2067" max="2067" width="10.42578125" customWidth="1"/>
    <col min="2068" max="2068" width="10" customWidth="1"/>
    <col min="2069" max="2069" width="8.42578125" customWidth="1"/>
    <col min="2070" max="2070" width="8.5703125" customWidth="1"/>
    <col min="2071" max="2071" width="6.85546875" customWidth="1"/>
    <col min="2072" max="2072" width="8.85546875" customWidth="1"/>
    <col min="2073" max="2073" width="6.42578125" customWidth="1"/>
    <col min="2074" max="2074" width="9.85546875" customWidth="1"/>
    <col min="2075" max="2075" width="10.140625" customWidth="1"/>
    <col min="2076" max="2076" width="10.5703125" customWidth="1"/>
    <col min="2288" max="2288" width="3.140625" customWidth="1"/>
    <col min="2289" max="2289" width="15.7109375" customWidth="1"/>
    <col min="2290" max="2290" width="6.42578125" customWidth="1"/>
    <col min="2291" max="2291" width="4.7109375" customWidth="1"/>
    <col min="2292" max="2292" width="6.42578125" customWidth="1"/>
    <col min="2293" max="2293" width="7.28515625" customWidth="1"/>
    <col min="2294" max="2294" width="5.85546875" customWidth="1"/>
    <col min="2295" max="2295" width="5.7109375" customWidth="1"/>
    <col min="2296" max="2296" width="5.140625" customWidth="1"/>
    <col min="2297" max="2297" width="5.28515625" customWidth="1"/>
    <col min="2298" max="2298" width="7.140625" customWidth="1"/>
    <col min="2299" max="2299" width="7.85546875" customWidth="1"/>
    <col min="2300" max="2300" width="5.28515625" customWidth="1"/>
    <col min="2301" max="2301" width="9.5703125" customWidth="1"/>
    <col min="2302" max="2302" width="8.85546875" customWidth="1"/>
    <col min="2303" max="2303" width="7" customWidth="1"/>
    <col min="2304" max="2304" width="7.140625" customWidth="1"/>
    <col min="2305" max="2305" width="9.28515625" customWidth="1"/>
    <col min="2306" max="2306" width="8.85546875" customWidth="1"/>
    <col min="2307" max="2307" width="8" customWidth="1"/>
    <col min="2308" max="2308" width="9.28515625" customWidth="1"/>
    <col min="2309" max="2310" width="10.85546875" customWidth="1"/>
    <col min="2311" max="2311" width="10.7109375" customWidth="1"/>
    <col min="2312" max="2312" width="8.7109375" customWidth="1"/>
    <col min="2313" max="2313" width="8" customWidth="1"/>
    <col min="2314" max="2314" width="8.140625" customWidth="1"/>
    <col min="2315" max="2316" width="7.85546875" customWidth="1"/>
    <col min="2317" max="2317" width="11" customWidth="1"/>
    <col min="2318" max="2318" width="6.7109375" customWidth="1"/>
    <col min="2319" max="2319" width="10.5703125" bestFit="1" customWidth="1"/>
    <col min="2320" max="2320" width="10.5703125" customWidth="1"/>
    <col min="2321" max="2321" width="8.140625" customWidth="1"/>
    <col min="2322" max="2322" width="6.7109375" customWidth="1"/>
    <col min="2323" max="2323" width="10.42578125" customWidth="1"/>
    <col min="2324" max="2324" width="10" customWidth="1"/>
    <col min="2325" max="2325" width="8.42578125" customWidth="1"/>
    <col min="2326" max="2326" width="8.5703125" customWidth="1"/>
    <col min="2327" max="2327" width="6.85546875" customWidth="1"/>
    <col min="2328" max="2328" width="8.85546875" customWidth="1"/>
    <col min="2329" max="2329" width="6.42578125" customWidth="1"/>
    <col min="2330" max="2330" width="9.85546875" customWidth="1"/>
    <col min="2331" max="2331" width="10.140625" customWidth="1"/>
    <col min="2332" max="2332" width="10.5703125" customWidth="1"/>
    <col min="2544" max="2544" width="3.140625" customWidth="1"/>
    <col min="2545" max="2545" width="15.7109375" customWidth="1"/>
    <col min="2546" max="2546" width="6.42578125" customWidth="1"/>
    <col min="2547" max="2547" width="4.7109375" customWidth="1"/>
    <col min="2548" max="2548" width="6.42578125" customWidth="1"/>
    <col min="2549" max="2549" width="7.28515625" customWidth="1"/>
    <col min="2550" max="2550" width="5.85546875" customWidth="1"/>
    <col min="2551" max="2551" width="5.7109375" customWidth="1"/>
    <col min="2552" max="2552" width="5.140625" customWidth="1"/>
    <col min="2553" max="2553" width="5.28515625" customWidth="1"/>
    <col min="2554" max="2554" width="7.140625" customWidth="1"/>
    <col min="2555" max="2555" width="7.85546875" customWidth="1"/>
    <col min="2556" max="2556" width="5.28515625" customWidth="1"/>
    <col min="2557" max="2557" width="9.5703125" customWidth="1"/>
    <col min="2558" max="2558" width="8.85546875" customWidth="1"/>
    <col min="2559" max="2559" width="7" customWidth="1"/>
    <col min="2560" max="2560" width="7.140625" customWidth="1"/>
    <col min="2561" max="2561" width="9.28515625" customWidth="1"/>
    <col min="2562" max="2562" width="8.85546875" customWidth="1"/>
    <col min="2563" max="2563" width="8" customWidth="1"/>
    <col min="2564" max="2564" width="9.28515625" customWidth="1"/>
    <col min="2565" max="2566" width="10.85546875" customWidth="1"/>
    <col min="2567" max="2567" width="10.7109375" customWidth="1"/>
    <col min="2568" max="2568" width="8.7109375" customWidth="1"/>
    <col min="2569" max="2569" width="8" customWidth="1"/>
    <col min="2570" max="2570" width="8.140625" customWidth="1"/>
    <col min="2571" max="2572" width="7.85546875" customWidth="1"/>
    <col min="2573" max="2573" width="11" customWidth="1"/>
    <col min="2574" max="2574" width="6.7109375" customWidth="1"/>
    <col min="2575" max="2575" width="10.5703125" bestFit="1" customWidth="1"/>
    <col min="2576" max="2576" width="10.5703125" customWidth="1"/>
    <col min="2577" max="2577" width="8.140625" customWidth="1"/>
    <col min="2578" max="2578" width="6.7109375" customWidth="1"/>
    <col min="2579" max="2579" width="10.42578125" customWidth="1"/>
    <col min="2580" max="2580" width="10" customWidth="1"/>
    <col min="2581" max="2581" width="8.42578125" customWidth="1"/>
    <col min="2582" max="2582" width="8.5703125" customWidth="1"/>
    <col min="2583" max="2583" width="6.85546875" customWidth="1"/>
    <col min="2584" max="2584" width="8.85546875" customWidth="1"/>
    <col min="2585" max="2585" width="6.42578125" customWidth="1"/>
    <col min="2586" max="2586" width="9.85546875" customWidth="1"/>
    <col min="2587" max="2587" width="10.140625" customWidth="1"/>
    <col min="2588" max="2588" width="10.5703125" customWidth="1"/>
    <col min="2800" max="2800" width="3.140625" customWidth="1"/>
    <col min="2801" max="2801" width="15.7109375" customWidth="1"/>
    <col min="2802" max="2802" width="6.42578125" customWidth="1"/>
    <col min="2803" max="2803" width="4.7109375" customWidth="1"/>
    <col min="2804" max="2804" width="6.42578125" customWidth="1"/>
    <col min="2805" max="2805" width="7.28515625" customWidth="1"/>
    <col min="2806" max="2806" width="5.85546875" customWidth="1"/>
    <col min="2807" max="2807" width="5.7109375" customWidth="1"/>
    <col min="2808" max="2808" width="5.140625" customWidth="1"/>
    <col min="2809" max="2809" width="5.28515625" customWidth="1"/>
    <col min="2810" max="2810" width="7.140625" customWidth="1"/>
    <col min="2811" max="2811" width="7.85546875" customWidth="1"/>
    <col min="2812" max="2812" width="5.28515625" customWidth="1"/>
    <col min="2813" max="2813" width="9.5703125" customWidth="1"/>
    <col min="2814" max="2814" width="8.85546875" customWidth="1"/>
    <col min="2815" max="2815" width="7" customWidth="1"/>
    <col min="2816" max="2816" width="7.140625" customWidth="1"/>
    <col min="2817" max="2817" width="9.28515625" customWidth="1"/>
    <col min="2818" max="2818" width="8.85546875" customWidth="1"/>
    <col min="2819" max="2819" width="8" customWidth="1"/>
    <col min="2820" max="2820" width="9.28515625" customWidth="1"/>
    <col min="2821" max="2822" width="10.85546875" customWidth="1"/>
    <col min="2823" max="2823" width="10.7109375" customWidth="1"/>
    <col min="2824" max="2824" width="8.7109375" customWidth="1"/>
    <col min="2825" max="2825" width="8" customWidth="1"/>
    <col min="2826" max="2826" width="8.140625" customWidth="1"/>
    <col min="2827" max="2828" width="7.85546875" customWidth="1"/>
    <col min="2829" max="2829" width="11" customWidth="1"/>
    <col min="2830" max="2830" width="6.7109375" customWidth="1"/>
    <col min="2831" max="2831" width="10.5703125" bestFit="1" customWidth="1"/>
    <col min="2832" max="2832" width="10.5703125" customWidth="1"/>
    <col min="2833" max="2833" width="8.140625" customWidth="1"/>
    <col min="2834" max="2834" width="6.7109375" customWidth="1"/>
    <col min="2835" max="2835" width="10.42578125" customWidth="1"/>
    <col min="2836" max="2836" width="10" customWidth="1"/>
    <col min="2837" max="2837" width="8.42578125" customWidth="1"/>
    <col min="2838" max="2838" width="8.5703125" customWidth="1"/>
    <col min="2839" max="2839" width="6.85546875" customWidth="1"/>
    <col min="2840" max="2840" width="8.85546875" customWidth="1"/>
    <col min="2841" max="2841" width="6.42578125" customWidth="1"/>
    <col min="2842" max="2842" width="9.85546875" customWidth="1"/>
    <col min="2843" max="2843" width="10.140625" customWidth="1"/>
    <col min="2844" max="2844" width="10.5703125" customWidth="1"/>
    <col min="3056" max="3056" width="3.140625" customWidth="1"/>
    <col min="3057" max="3057" width="15.7109375" customWidth="1"/>
    <col min="3058" max="3058" width="6.42578125" customWidth="1"/>
    <col min="3059" max="3059" width="4.7109375" customWidth="1"/>
    <col min="3060" max="3060" width="6.42578125" customWidth="1"/>
    <col min="3061" max="3061" width="7.28515625" customWidth="1"/>
    <col min="3062" max="3062" width="5.85546875" customWidth="1"/>
    <col min="3063" max="3063" width="5.7109375" customWidth="1"/>
    <col min="3064" max="3064" width="5.140625" customWidth="1"/>
    <col min="3065" max="3065" width="5.28515625" customWidth="1"/>
    <col min="3066" max="3066" width="7.140625" customWidth="1"/>
    <col min="3067" max="3067" width="7.85546875" customWidth="1"/>
    <col min="3068" max="3068" width="5.28515625" customWidth="1"/>
    <col min="3069" max="3069" width="9.5703125" customWidth="1"/>
    <col min="3070" max="3070" width="8.85546875" customWidth="1"/>
    <col min="3071" max="3071" width="7" customWidth="1"/>
    <col min="3072" max="3072" width="7.140625" customWidth="1"/>
    <col min="3073" max="3073" width="9.28515625" customWidth="1"/>
    <col min="3074" max="3074" width="8.85546875" customWidth="1"/>
    <col min="3075" max="3075" width="8" customWidth="1"/>
    <col min="3076" max="3076" width="9.28515625" customWidth="1"/>
    <col min="3077" max="3078" width="10.85546875" customWidth="1"/>
    <col min="3079" max="3079" width="10.7109375" customWidth="1"/>
    <col min="3080" max="3080" width="8.7109375" customWidth="1"/>
    <col min="3081" max="3081" width="8" customWidth="1"/>
    <col min="3082" max="3082" width="8.140625" customWidth="1"/>
    <col min="3083" max="3084" width="7.85546875" customWidth="1"/>
    <col min="3085" max="3085" width="11" customWidth="1"/>
    <col min="3086" max="3086" width="6.7109375" customWidth="1"/>
    <col min="3087" max="3087" width="10.5703125" bestFit="1" customWidth="1"/>
    <col min="3088" max="3088" width="10.5703125" customWidth="1"/>
    <col min="3089" max="3089" width="8.140625" customWidth="1"/>
    <col min="3090" max="3090" width="6.7109375" customWidth="1"/>
    <col min="3091" max="3091" width="10.42578125" customWidth="1"/>
    <col min="3092" max="3092" width="10" customWidth="1"/>
    <col min="3093" max="3093" width="8.42578125" customWidth="1"/>
    <col min="3094" max="3094" width="8.5703125" customWidth="1"/>
    <col min="3095" max="3095" width="6.85546875" customWidth="1"/>
    <col min="3096" max="3096" width="8.85546875" customWidth="1"/>
    <col min="3097" max="3097" width="6.42578125" customWidth="1"/>
    <col min="3098" max="3098" width="9.85546875" customWidth="1"/>
    <col min="3099" max="3099" width="10.140625" customWidth="1"/>
    <col min="3100" max="3100" width="10.5703125" customWidth="1"/>
    <col min="3312" max="3312" width="3.140625" customWidth="1"/>
    <col min="3313" max="3313" width="15.7109375" customWidth="1"/>
    <col min="3314" max="3314" width="6.42578125" customWidth="1"/>
    <col min="3315" max="3315" width="4.7109375" customWidth="1"/>
    <col min="3316" max="3316" width="6.42578125" customWidth="1"/>
    <col min="3317" max="3317" width="7.28515625" customWidth="1"/>
    <col min="3318" max="3318" width="5.85546875" customWidth="1"/>
    <col min="3319" max="3319" width="5.7109375" customWidth="1"/>
    <col min="3320" max="3320" width="5.140625" customWidth="1"/>
    <col min="3321" max="3321" width="5.28515625" customWidth="1"/>
    <col min="3322" max="3322" width="7.140625" customWidth="1"/>
    <col min="3323" max="3323" width="7.85546875" customWidth="1"/>
    <col min="3324" max="3324" width="5.28515625" customWidth="1"/>
    <col min="3325" max="3325" width="9.5703125" customWidth="1"/>
    <col min="3326" max="3326" width="8.85546875" customWidth="1"/>
    <col min="3327" max="3327" width="7" customWidth="1"/>
    <col min="3328" max="3328" width="7.140625" customWidth="1"/>
    <col min="3329" max="3329" width="9.28515625" customWidth="1"/>
    <col min="3330" max="3330" width="8.85546875" customWidth="1"/>
    <col min="3331" max="3331" width="8" customWidth="1"/>
    <col min="3332" max="3332" width="9.28515625" customWidth="1"/>
    <col min="3333" max="3334" width="10.85546875" customWidth="1"/>
    <col min="3335" max="3335" width="10.7109375" customWidth="1"/>
    <col min="3336" max="3336" width="8.7109375" customWidth="1"/>
    <col min="3337" max="3337" width="8" customWidth="1"/>
    <col min="3338" max="3338" width="8.140625" customWidth="1"/>
    <col min="3339" max="3340" width="7.85546875" customWidth="1"/>
    <col min="3341" max="3341" width="11" customWidth="1"/>
    <col min="3342" max="3342" width="6.7109375" customWidth="1"/>
    <col min="3343" max="3343" width="10.5703125" bestFit="1" customWidth="1"/>
    <col min="3344" max="3344" width="10.5703125" customWidth="1"/>
    <col min="3345" max="3345" width="8.140625" customWidth="1"/>
    <col min="3346" max="3346" width="6.7109375" customWidth="1"/>
    <col min="3347" max="3347" width="10.42578125" customWidth="1"/>
    <col min="3348" max="3348" width="10" customWidth="1"/>
    <col min="3349" max="3349" width="8.42578125" customWidth="1"/>
    <col min="3350" max="3350" width="8.5703125" customWidth="1"/>
    <col min="3351" max="3351" width="6.85546875" customWidth="1"/>
    <col min="3352" max="3352" width="8.85546875" customWidth="1"/>
    <col min="3353" max="3353" width="6.42578125" customWidth="1"/>
    <col min="3354" max="3354" width="9.85546875" customWidth="1"/>
    <col min="3355" max="3355" width="10.140625" customWidth="1"/>
    <col min="3356" max="3356" width="10.5703125" customWidth="1"/>
    <col min="3568" max="3568" width="3.140625" customWidth="1"/>
    <col min="3569" max="3569" width="15.7109375" customWidth="1"/>
    <col min="3570" max="3570" width="6.42578125" customWidth="1"/>
    <col min="3571" max="3571" width="4.7109375" customWidth="1"/>
    <col min="3572" max="3572" width="6.42578125" customWidth="1"/>
    <col min="3573" max="3573" width="7.28515625" customWidth="1"/>
    <col min="3574" max="3574" width="5.85546875" customWidth="1"/>
    <col min="3575" max="3575" width="5.7109375" customWidth="1"/>
    <col min="3576" max="3576" width="5.140625" customWidth="1"/>
    <col min="3577" max="3577" width="5.28515625" customWidth="1"/>
    <col min="3578" max="3578" width="7.140625" customWidth="1"/>
    <col min="3579" max="3579" width="7.85546875" customWidth="1"/>
    <col min="3580" max="3580" width="5.28515625" customWidth="1"/>
    <col min="3581" max="3581" width="9.5703125" customWidth="1"/>
    <col min="3582" max="3582" width="8.85546875" customWidth="1"/>
    <col min="3583" max="3583" width="7" customWidth="1"/>
    <col min="3584" max="3584" width="7.140625" customWidth="1"/>
    <col min="3585" max="3585" width="9.28515625" customWidth="1"/>
    <col min="3586" max="3586" width="8.85546875" customWidth="1"/>
    <col min="3587" max="3587" width="8" customWidth="1"/>
    <col min="3588" max="3588" width="9.28515625" customWidth="1"/>
    <col min="3589" max="3590" width="10.85546875" customWidth="1"/>
    <col min="3591" max="3591" width="10.7109375" customWidth="1"/>
    <col min="3592" max="3592" width="8.7109375" customWidth="1"/>
    <col min="3593" max="3593" width="8" customWidth="1"/>
    <col min="3594" max="3594" width="8.140625" customWidth="1"/>
    <col min="3595" max="3596" width="7.85546875" customWidth="1"/>
    <col min="3597" max="3597" width="11" customWidth="1"/>
    <col min="3598" max="3598" width="6.7109375" customWidth="1"/>
    <col min="3599" max="3599" width="10.5703125" bestFit="1" customWidth="1"/>
    <col min="3600" max="3600" width="10.5703125" customWidth="1"/>
    <col min="3601" max="3601" width="8.140625" customWidth="1"/>
    <col min="3602" max="3602" width="6.7109375" customWidth="1"/>
    <col min="3603" max="3603" width="10.42578125" customWidth="1"/>
    <col min="3604" max="3604" width="10" customWidth="1"/>
    <col min="3605" max="3605" width="8.42578125" customWidth="1"/>
    <col min="3606" max="3606" width="8.5703125" customWidth="1"/>
    <col min="3607" max="3607" width="6.85546875" customWidth="1"/>
    <col min="3608" max="3608" width="8.85546875" customWidth="1"/>
    <col min="3609" max="3609" width="6.42578125" customWidth="1"/>
    <col min="3610" max="3610" width="9.85546875" customWidth="1"/>
    <col min="3611" max="3611" width="10.140625" customWidth="1"/>
    <col min="3612" max="3612" width="10.5703125" customWidth="1"/>
    <col min="3824" max="3824" width="3.140625" customWidth="1"/>
    <col min="3825" max="3825" width="15.7109375" customWidth="1"/>
    <col min="3826" max="3826" width="6.42578125" customWidth="1"/>
    <col min="3827" max="3827" width="4.7109375" customWidth="1"/>
    <col min="3828" max="3828" width="6.42578125" customWidth="1"/>
    <col min="3829" max="3829" width="7.28515625" customWidth="1"/>
    <col min="3830" max="3830" width="5.85546875" customWidth="1"/>
    <col min="3831" max="3831" width="5.7109375" customWidth="1"/>
    <col min="3832" max="3832" width="5.140625" customWidth="1"/>
    <col min="3833" max="3833" width="5.28515625" customWidth="1"/>
    <col min="3834" max="3834" width="7.140625" customWidth="1"/>
    <col min="3835" max="3835" width="7.85546875" customWidth="1"/>
    <col min="3836" max="3836" width="5.28515625" customWidth="1"/>
    <col min="3837" max="3837" width="9.5703125" customWidth="1"/>
    <col min="3838" max="3838" width="8.85546875" customWidth="1"/>
    <col min="3839" max="3839" width="7" customWidth="1"/>
    <col min="3840" max="3840" width="7.140625" customWidth="1"/>
    <col min="3841" max="3841" width="9.28515625" customWidth="1"/>
    <col min="3842" max="3842" width="8.85546875" customWidth="1"/>
    <col min="3843" max="3843" width="8" customWidth="1"/>
    <col min="3844" max="3844" width="9.28515625" customWidth="1"/>
    <col min="3845" max="3846" width="10.85546875" customWidth="1"/>
    <col min="3847" max="3847" width="10.7109375" customWidth="1"/>
    <col min="3848" max="3848" width="8.7109375" customWidth="1"/>
    <col min="3849" max="3849" width="8" customWidth="1"/>
    <col min="3850" max="3850" width="8.140625" customWidth="1"/>
    <col min="3851" max="3852" width="7.85546875" customWidth="1"/>
    <col min="3853" max="3853" width="11" customWidth="1"/>
    <col min="3854" max="3854" width="6.7109375" customWidth="1"/>
    <col min="3855" max="3855" width="10.5703125" bestFit="1" customWidth="1"/>
    <col min="3856" max="3856" width="10.5703125" customWidth="1"/>
    <col min="3857" max="3857" width="8.140625" customWidth="1"/>
    <col min="3858" max="3858" width="6.7109375" customWidth="1"/>
    <col min="3859" max="3859" width="10.42578125" customWidth="1"/>
    <col min="3860" max="3860" width="10" customWidth="1"/>
    <col min="3861" max="3861" width="8.42578125" customWidth="1"/>
    <col min="3862" max="3862" width="8.5703125" customWidth="1"/>
    <col min="3863" max="3863" width="6.85546875" customWidth="1"/>
    <col min="3864" max="3864" width="8.85546875" customWidth="1"/>
    <col min="3865" max="3865" width="6.42578125" customWidth="1"/>
    <col min="3866" max="3866" width="9.85546875" customWidth="1"/>
    <col min="3867" max="3867" width="10.140625" customWidth="1"/>
    <col min="3868" max="3868" width="10.5703125" customWidth="1"/>
    <col min="4080" max="4080" width="3.140625" customWidth="1"/>
    <col min="4081" max="4081" width="15.7109375" customWidth="1"/>
    <col min="4082" max="4082" width="6.42578125" customWidth="1"/>
    <col min="4083" max="4083" width="4.7109375" customWidth="1"/>
    <col min="4084" max="4084" width="6.42578125" customWidth="1"/>
    <col min="4085" max="4085" width="7.28515625" customWidth="1"/>
    <col min="4086" max="4086" width="5.85546875" customWidth="1"/>
    <col min="4087" max="4087" width="5.7109375" customWidth="1"/>
    <col min="4088" max="4088" width="5.140625" customWidth="1"/>
    <col min="4089" max="4089" width="5.28515625" customWidth="1"/>
    <col min="4090" max="4090" width="7.140625" customWidth="1"/>
    <col min="4091" max="4091" width="7.85546875" customWidth="1"/>
    <col min="4092" max="4092" width="5.28515625" customWidth="1"/>
    <col min="4093" max="4093" width="9.5703125" customWidth="1"/>
    <col min="4094" max="4094" width="8.85546875" customWidth="1"/>
    <col min="4095" max="4095" width="7" customWidth="1"/>
    <col min="4096" max="4096" width="7.140625" customWidth="1"/>
    <col min="4097" max="4097" width="9.28515625" customWidth="1"/>
    <col min="4098" max="4098" width="8.85546875" customWidth="1"/>
    <col min="4099" max="4099" width="8" customWidth="1"/>
    <col min="4100" max="4100" width="9.28515625" customWidth="1"/>
    <col min="4101" max="4102" width="10.85546875" customWidth="1"/>
    <col min="4103" max="4103" width="10.7109375" customWidth="1"/>
    <col min="4104" max="4104" width="8.7109375" customWidth="1"/>
    <col min="4105" max="4105" width="8" customWidth="1"/>
    <col min="4106" max="4106" width="8.140625" customWidth="1"/>
    <col min="4107" max="4108" width="7.85546875" customWidth="1"/>
    <col min="4109" max="4109" width="11" customWidth="1"/>
    <col min="4110" max="4110" width="6.7109375" customWidth="1"/>
    <col min="4111" max="4111" width="10.5703125" bestFit="1" customWidth="1"/>
    <col min="4112" max="4112" width="10.5703125" customWidth="1"/>
    <col min="4113" max="4113" width="8.140625" customWidth="1"/>
    <col min="4114" max="4114" width="6.7109375" customWidth="1"/>
    <col min="4115" max="4115" width="10.42578125" customWidth="1"/>
    <col min="4116" max="4116" width="10" customWidth="1"/>
    <col min="4117" max="4117" width="8.42578125" customWidth="1"/>
    <col min="4118" max="4118" width="8.5703125" customWidth="1"/>
    <col min="4119" max="4119" width="6.85546875" customWidth="1"/>
    <col min="4120" max="4120" width="8.85546875" customWidth="1"/>
    <col min="4121" max="4121" width="6.42578125" customWidth="1"/>
    <col min="4122" max="4122" width="9.85546875" customWidth="1"/>
    <col min="4123" max="4123" width="10.140625" customWidth="1"/>
    <col min="4124" max="4124" width="10.5703125" customWidth="1"/>
    <col min="4336" max="4336" width="3.140625" customWidth="1"/>
    <col min="4337" max="4337" width="15.7109375" customWidth="1"/>
    <col min="4338" max="4338" width="6.42578125" customWidth="1"/>
    <col min="4339" max="4339" width="4.7109375" customWidth="1"/>
    <col min="4340" max="4340" width="6.42578125" customWidth="1"/>
    <col min="4341" max="4341" width="7.28515625" customWidth="1"/>
    <col min="4342" max="4342" width="5.85546875" customWidth="1"/>
    <col min="4343" max="4343" width="5.7109375" customWidth="1"/>
    <col min="4344" max="4344" width="5.140625" customWidth="1"/>
    <col min="4345" max="4345" width="5.28515625" customWidth="1"/>
    <col min="4346" max="4346" width="7.140625" customWidth="1"/>
    <col min="4347" max="4347" width="7.85546875" customWidth="1"/>
    <col min="4348" max="4348" width="5.28515625" customWidth="1"/>
    <col min="4349" max="4349" width="9.5703125" customWidth="1"/>
    <col min="4350" max="4350" width="8.85546875" customWidth="1"/>
    <col min="4351" max="4351" width="7" customWidth="1"/>
    <col min="4352" max="4352" width="7.140625" customWidth="1"/>
    <col min="4353" max="4353" width="9.28515625" customWidth="1"/>
    <col min="4354" max="4354" width="8.85546875" customWidth="1"/>
    <col min="4355" max="4355" width="8" customWidth="1"/>
    <col min="4356" max="4356" width="9.28515625" customWidth="1"/>
    <col min="4357" max="4358" width="10.85546875" customWidth="1"/>
    <col min="4359" max="4359" width="10.7109375" customWidth="1"/>
    <col min="4360" max="4360" width="8.7109375" customWidth="1"/>
    <col min="4361" max="4361" width="8" customWidth="1"/>
    <col min="4362" max="4362" width="8.140625" customWidth="1"/>
    <col min="4363" max="4364" width="7.85546875" customWidth="1"/>
    <col min="4365" max="4365" width="11" customWidth="1"/>
    <col min="4366" max="4366" width="6.7109375" customWidth="1"/>
    <col min="4367" max="4367" width="10.5703125" bestFit="1" customWidth="1"/>
    <col min="4368" max="4368" width="10.5703125" customWidth="1"/>
    <col min="4369" max="4369" width="8.140625" customWidth="1"/>
    <col min="4370" max="4370" width="6.7109375" customWidth="1"/>
    <col min="4371" max="4371" width="10.42578125" customWidth="1"/>
    <col min="4372" max="4372" width="10" customWidth="1"/>
    <col min="4373" max="4373" width="8.42578125" customWidth="1"/>
    <col min="4374" max="4374" width="8.5703125" customWidth="1"/>
    <col min="4375" max="4375" width="6.85546875" customWidth="1"/>
    <col min="4376" max="4376" width="8.85546875" customWidth="1"/>
    <col min="4377" max="4377" width="6.42578125" customWidth="1"/>
    <col min="4378" max="4378" width="9.85546875" customWidth="1"/>
    <col min="4379" max="4379" width="10.140625" customWidth="1"/>
    <col min="4380" max="4380" width="10.5703125" customWidth="1"/>
    <col min="4592" max="4592" width="3.140625" customWidth="1"/>
    <col min="4593" max="4593" width="15.7109375" customWidth="1"/>
    <col min="4594" max="4594" width="6.42578125" customWidth="1"/>
    <col min="4595" max="4595" width="4.7109375" customWidth="1"/>
    <col min="4596" max="4596" width="6.42578125" customWidth="1"/>
    <col min="4597" max="4597" width="7.28515625" customWidth="1"/>
    <col min="4598" max="4598" width="5.85546875" customWidth="1"/>
    <col min="4599" max="4599" width="5.7109375" customWidth="1"/>
    <col min="4600" max="4600" width="5.140625" customWidth="1"/>
    <col min="4601" max="4601" width="5.28515625" customWidth="1"/>
    <col min="4602" max="4602" width="7.140625" customWidth="1"/>
    <col min="4603" max="4603" width="7.85546875" customWidth="1"/>
    <col min="4604" max="4604" width="5.28515625" customWidth="1"/>
    <col min="4605" max="4605" width="9.5703125" customWidth="1"/>
    <col min="4606" max="4606" width="8.85546875" customWidth="1"/>
    <col min="4607" max="4607" width="7" customWidth="1"/>
    <col min="4608" max="4608" width="7.140625" customWidth="1"/>
    <col min="4609" max="4609" width="9.28515625" customWidth="1"/>
    <col min="4610" max="4610" width="8.85546875" customWidth="1"/>
    <col min="4611" max="4611" width="8" customWidth="1"/>
    <col min="4612" max="4612" width="9.28515625" customWidth="1"/>
    <col min="4613" max="4614" width="10.85546875" customWidth="1"/>
    <col min="4615" max="4615" width="10.7109375" customWidth="1"/>
    <col min="4616" max="4616" width="8.7109375" customWidth="1"/>
    <col min="4617" max="4617" width="8" customWidth="1"/>
    <col min="4618" max="4618" width="8.140625" customWidth="1"/>
    <col min="4619" max="4620" width="7.85546875" customWidth="1"/>
    <col min="4621" max="4621" width="11" customWidth="1"/>
    <col min="4622" max="4622" width="6.7109375" customWidth="1"/>
    <col min="4623" max="4623" width="10.5703125" bestFit="1" customWidth="1"/>
    <col min="4624" max="4624" width="10.5703125" customWidth="1"/>
    <col min="4625" max="4625" width="8.140625" customWidth="1"/>
    <col min="4626" max="4626" width="6.7109375" customWidth="1"/>
    <col min="4627" max="4627" width="10.42578125" customWidth="1"/>
    <col min="4628" max="4628" width="10" customWidth="1"/>
    <col min="4629" max="4629" width="8.42578125" customWidth="1"/>
    <col min="4630" max="4630" width="8.5703125" customWidth="1"/>
    <col min="4631" max="4631" width="6.85546875" customWidth="1"/>
    <col min="4632" max="4632" width="8.85546875" customWidth="1"/>
    <col min="4633" max="4633" width="6.42578125" customWidth="1"/>
    <col min="4634" max="4634" width="9.85546875" customWidth="1"/>
    <col min="4635" max="4635" width="10.140625" customWidth="1"/>
    <col min="4636" max="4636" width="10.5703125" customWidth="1"/>
    <col min="4848" max="4848" width="3.140625" customWidth="1"/>
    <col min="4849" max="4849" width="15.7109375" customWidth="1"/>
    <col min="4850" max="4850" width="6.42578125" customWidth="1"/>
    <col min="4851" max="4851" width="4.7109375" customWidth="1"/>
    <col min="4852" max="4852" width="6.42578125" customWidth="1"/>
    <col min="4853" max="4853" width="7.28515625" customWidth="1"/>
    <col min="4854" max="4854" width="5.85546875" customWidth="1"/>
    <col min="4855" max="4855" width="5.7109375" customWidth="1"/>
    <col min="4856" max="4856" width="5.140625" customWidth="1"/>
    <col min="4857" max="4857" width="5.28515625" customWidth="1"/>
    <col min="4858" max="4858" width="7.140625" customWidth="1"/>
    <col min="4859" max="4859" width="7.85546875" customWidth="1"/>
    <col min="4860" max="4860" width="5.28515625" customWidth="1"/>
    <col min="4861" max="4861" width="9.5703125" customWidth="1"/>
    <col min="4862" max="4862" width="8.85546875" customWidth="1"/>
    <col min="4863" max="4863" width="7" customWidth="1"/>
    <col min="4864" max="4864" width="7.140625" customWidth="1"/>
    <col min="4865" max="4865" width="9.28515625" customWidth="1"/>
    <col min="4866" max="4866" width="8.85546875" customWidth="1"/>
    <col min="4867" max="4867" width="8" customWidth="1"/>
    <col min="4868" max="4868" width="9.28515625" customWidth="1"/>
    <col min="4869" max="4870" width="10.85546875" customWidth="1"/>
    <col min="4871" max="4871" width="10.7109375" customWidth="1"/>
    <col min="4872" max="4872" width="8.7109375" customWidth="1"/>
    <col min="4873" max="4873" width="8" customWidth="1"/>
    <col min="4874" max="4874" width="8.140625" customWidth="1"/>
    <col min="4875" max="4876" width="7.85546875" customWidth="1"/>
    <col min="4877" max="4877" width="11" customWidth="1"/>
    <col min="4878" max="4878" width="6.7109375" customWidth="1"/>
    <col min="4879" max="4879" width="10.5703125" bestFit="1" customWidth="1"/>
    <col min="4880" max="4880" width="10.5703125" customWidth="1"/>
    <col min="4881" max="4881" width="8.140625" customWidth="1"/>
    <col min="4882" max="4882" width="6.7109375" customWidth="1"/>
    <col min="4883" max="4883" width="10.42578125" customWidth="1"/>
    <col min="4884" max="4884" width="10" customWidth="1"/>
    <col min="4885" max="4885" width="8.42578125" customWidth="1"/>
    <col min="4886" max="4886" width="8.5703125" customWidth="1"/>
    <col min="4887" max="4887" width="6.85546875" customWidth="1"/>
    <col min="4888" max="4888" width="8.85546875" customWidth="1"/>
    <col min="4889" max="4889" width="6.42578125" customWidth="1"/>
    <col min="4890" max="4890" width="9.85546875" customWidth="1"/>
    <col min="4891" max="4891" width="10.140625" customWidth="1"/>
    <col min="4892" max="4892" width="10.5703125" customWidth="1"/>
    <col min="5104" max="5104" width="3.140625" customWidth="1"/>
    <col min="5105" max="5105" width="15.7109375" customWidth="1"/>
    <col min="5106" max="5106" width="6.42578125" customWidth="1"/>
    <col min="5107" max="5107" width="4.7109375" customWidth="1"/>
    <col min="5108" max="5108" width="6.42578125" customWidth="1"/>
    <col min="5109" max="5109" width="7.28515625" customWidth="1"/>
    <col min="5110" max="5110" width="5.85546875" customWidth="1"/>
    <col min="5111" max="5111" width="5.7109375" customWidth="1"/>
    <col min="5112" max="5112" width="5.140625" customWidth="1"/>
    <col min="5113" max="5113" width="5.28515625" customWidth="1"/>
    <col min="5114" max="5114" width="7.140625" customWidth="1"/>
    <col min="5115" max="5115" width="7.85546875" customWidth="1"/>
    <col min="5116" max="5116" width="5.28515625" customWidth="1"/>
    <col min="5117" max="5117" width="9.5703125" customWidth="1"/>
    <col min="5118" max="5118" width="8.85546875" customWidth="1"/>
    <col min="5119" max="5119" width="7" customWidth="1"/>
    <col min="5120" max="5120" width="7.140625" customWidth="1"/>
    <col min="5121" max="5121" width="9.28515625" customWidth="1"/>
    <col min="5122" max="5122" width="8.85546875" customWidth="1"/>
    <col min="5123" max="5123" width="8" customWidth="1"/>
    <col min="5124" max="5124" width="9.28515625" customWidth="1"/>
    <col min="5125" max="5126" width="10.85546875" customWidth="1"/>
    <col min="5127" max="5127" width="10.7109375" customWidth="1"/>
    <col min="5128" max="5128" width="8.7109375" customWidth="1"/>
    <col min="5129" max="5129" width="8" customWidth="1"/>
    <col min="5130" max="5130" width="8.140625" customWidth="1"/>
    <col min="5131" max="5132" width="7.85546875" customWidth="1"/>
    <col min="5133" max="5133" width="11" customWidth="1"/>
    <col min="5134" max="5134" width="6.7109375" customWidth="1"/>
    <col min="5135" max="5135" width="10.5703125" bestFit="1" customWidth="1"/>
    <col min="5136" max="5136" width="10.5703125" customWidth="1"/>
    <col min="5137" max="5137" width="8.140625" customWidth="1"/>
    <col min="5138" max="5138" width="6.7109375" customWidth="1"/>
    <col min="5139" max="5139" width="10.42578125" customWidth="1"/>
    <col min="5140" max="5140" width="10" customWidth="1"/>
    <col min="5141" max="5141" width="8.42578125" customWidth="1"/>
    <col min="5142" max="5142" width="8.5703125" customWidth="1"/>
    <col min="5143" max="5143" width="6.85546875" customWidth="1"/>
    <col min="5144" max="5144" width="8.85546875" customWidth="1"/>
    <col min="5145" max="5145" width="6.42578125" customWidth="1"/>
    <col min="5146" max="5146" width="9.85546875" customWidth="1"/>
    <col min="5147" max="5147" width="10.140625" customWidth="1"/>
    <col min="5148" max="5148" width="10.5703125" customWidth="1"/>
    <col min="5360" max="5360" width="3.140625" customWidth="1"/>
    <col min="5361" max="5361" width="15.7109375" customWidth="1"/>
    <col min="5362" max="5362" width="6.42578125" customWidth="1"/>
    <col min="5363" max="5363" width="4.7109375" customWidth="1"/>
    <col min="5364" max="5364" width="6.42578125" customWidth="1"/>
    <col min="5365" max="5365" width="7.28515625" customWidth="1"/>
    <col min="5366" max="5366" width="5.85546875" customWidth="1"/>
    <col min="5367" max="5367" width="5.7109375" customWidth="1"/>
    <col min="5368" max="5368" width="5.140625" customWidth="1"/>
    <col min="5369" max="5369" width="5.28515625" customWidth="1"/>
    <col min="5370" max="5370" width="7.140625" customWidth="1"/>
    <col min="5371" max="5371" width="7.85546875" customWidth="1"/>
    <col min="5372" max="5372" width="5.28515625" customWidth="1"/>
    <col min="5373" max="5373" width="9.5703125" customWidth="1"/>
    <col min="5374" max="5374" width="8.85546875" customWidth="1"/>
    <col min="5375" max="5375" width="7" customWidth="1"/>
    <col min="5376" max="5376" width="7.140625" customWidth="1"/>
    <col min="5377" max="5377" width="9.28515625" customWidth="1"/>
    <col min="5378" max="5378" width="8.85546875" customWidth="1"/>
    <col min="5379" max="5379" width="8" customWidth="1"/>
    <col min="5380" max="5380" width="9.28515625" customWidth="1"/>
    <col min="5381" max="5382" width="10.85546875" customWidth="1"/>
    <col min="5383" max="5383" width="10.7109375" customWidth="1"/>
    <col min="5384" max="5384" width="8.7109375" customWidth="1"/>
    <col min="5385" max="5385" width="8" customWidth="1"/>
    <col min="5386" max="5386" width="8.140625" customWidth="1"/>
    <col min="5387" max="5388" width="7.85546875" customWidth="1"/>
    <col min="5389" max="5389" width="11" customWidth="1"/>
    <col min="5390" max="5390" width="6.7109375" customWidth="1"/>
    <col min="5391" max="5391" width="10.5703125" bestFit="1" customWidth="1"/>
    <col min="5392" max="5392" width="10.5703125" customWidth="1"/>
    <col min="5393" max="5393" width="8.140625" customWidth="1"/>
    <col min="5394" max="5394" width="6.7109375" customWidth="1"/>
    <col min="5395" max="5395" width="10.42578125" customWidth="1"/>
    <col min="5396" max="5396" width="10" customWidth="1"/>
    <col min="5397" max="5397" width="8.42578125" customWidth="1"/>
    <col min="5398" max="5398" width="8.5703125" customWidth="1"/>
    <col min="5399" max="5399" width="6.85546875" customWidth="1"/>
    <col min="5400" max="5400" width="8.85546875" customWidth="1"/>
    <col min="5401" max="5401" width="6.42578125" customWidth="1"/>
    <col min="5402" max="5402" width="9.85546875" customWidth="1"/>
    <col min="5403" max="5403" width="10.140625" customWidth="1"/>
    <col min="5404" max="5404" width="10.5703125" customWidth="1"/>
    <col min="5616" max="5616" width="3.140625" customWidth="1"/>
    <col min="5617" max="5617" width="15.7109375" customWidth="1"/>
    <col min="5618" max="5618" width="6.42578125" customWidth="1"/>
    <col min="5619" max="5619" width="4.7109375" customWidth="1"/>
    <col min="5620" max="5620" width="6.42578125" customWidth="1"/>
    <col min="5621" max="5621" width="7.28515625" customWidth="1"/>
    <col min="5622" max="5622" width="5.85546875" customWidth="1"/>
    <col min="5623" max="5623" width="5.7109375" customWidth="1"/>
    <col min="5624" max="5624" width="5.140625" customWidth="1"/>
    <col min="5625" max="5625" width="5.28515625" customWidth="1"/>
    <col min="5626" max="5626" width="7.140625" customWidth="1"/>
    <col min="5627" max="5627" width="7.85546875" customWidth="1"/>
    <col min="5628" max="5628" width="5.28515625" customWidth="1"/>
    <col min="5629" max="5629" width="9.5703125" customWidth="1"/>
    <col min="5630" max="5630" width="8.85546875" customWidth="1"/>
    <col min="5631" max="5631" width="7" customWidth="1"/>
    <col min="5632" max="5632" width="7.140625" customWidth="1"/>
    <col min="5633" max="5633" width="9.28515625" customWidth="1"/>
    <col min="5634" max="5634" width="8.85546875" customWidth="1"/>
    <col min="5635" max="5635" width="8" customWidth="1"/>
    <col min="5636" max="5636" width="9.28515625" customWidth="1"/>
    <col min="5637" max="5638" width="10.85546875" customWidth="1"/>
    <col min="5639" max="5639" width="10.7109375" customWidth="1"/>
    <col min="5640" max="5640" width="8.7109375" customWidth="1"/>
    <col min="5641" max="5641" width="8" customWidth="1"/>
    <col min="5642" max="5642" width="8.140625" customWidth="1"/>
    <col min="5643" max="5644" width="7.85546875" customWidth="1"/>
    <col min="5645" max="5645" width="11" customWidth="1"/>
    <col min="5646" max="5646" width="6.7109375" customWidth="1"/>
    <col min="5647" max="5647" width="10.5703125" bestFit="1" customWidth="1"/>
    <col min="5648" max="5648" width="10.5703125" customWidth="1"/>
    <col min="5649" max="5649" width="8.140625" customWidth="1"/>
    <col min="5650" max="5650" width="6.7109375" customWidth="1"/>
    <col min="5651" max="5651" width="10.42578125" customWidth="1"/>
    <col min="5652" max="5652" width="10" customWidth="1"/>
    <col min="5653" max="5653" width="8.42578125" customWidth="1"/>
    <col min="5654" max="5654" width="8.5703125" customWidth="1"/>
    <col min="5655" max="5655" width="6.85546875" customWidth="1"/>
    <col min="5656" max="5656" width="8.85546875" customWidth="1"/>
    <col min="5657" max="5657" width="6.42578125" customWidth="1"/>
    <col min="5658" max="5658" width="9.85546875" customWidth="1"/>
    <col min="5659" max="5659" width="10.140625" customWidth="1"/>
    <col min="5660" max="5660" width="10.5703125" customWidth="1"/>
    <col min="5872" max="5872" width="3.140625" customWidth="1"/>
    <col min="5873" max="5873" width="15.7109375" customWidth="1"/>
    <col min="5874" max="5874" width="6.42578125" customWidth="1"/>
    <col min="5875" max="5875" width="4.7109375" customWidth="1"/>
    <col min="5876" max="5876" width="6.42578125" customWidth="1"/>
    <col min="5877" max="5877" width="7.28515625" customWidth="1"/>
    <col min="5878" max="5878" width="5.85546875" customWidth="1"/>
    <col min="5879" max="5879" width="5.7109375" customWidth="1"/>
    <col min="5880" max="5880" width="5.140625" customWidth="1"/>
    <col min="5881" max="5881" width="5.28515625" customWidth="1"/>
    <col min="5882" max="5882" width="7.140625" customWidth="1"/>
    <col min="5883" max="5883" width="7.85546875" customWidth="1"/>
    <col min="5884" max="5884" width="5.28515625" customWidth="1"/>
    <col min="5885" max="5885" width="9.5703125" customWidth="1"/>
    <col min="5886" max="5886" width="8.85546875" customWidth="1"/>
    <col min="5887" max="5887" width="7" customWidth="1"/>
    <col min="5888" max="5888" width="7.140625" customWidth="1"/>
    <col min="5889" max="5889" width="9.28515625" customWidth="1"/>
    <col min="5890" max="5890" width="8.85546875" customWidth="1"/>
    <col min="5891" max="5891" width="8" customWidth="1"/>
    <col min="5892" max="5892" width="9.28515625" customWidth="1"/>
    <col min="5893" max="5894" width="10.85546875" customWidth="1"/>
    <col min="5895" max="5895" width="10.7109375" customWidth="1"/>
    <col min="5896" max="5896" width="8.7109375" customWidth="1"/>
    <col min="5897" max="5897" width="8" customWidth="1"/>
    <col min="5898" max="5898" width="8.140625" customWidth="1"/>
    <col min="5899" max="5900" width="7.85546875" customWidth="1"/>
    <col min="5901" max="5901" width="11" customWidth="1"/>
    <col min="5902" max="5902" width="6.7109375" customWidth="1"/>
    <col min="5903" max="5903" width="10.5703125" bestFit="1" customWidth="1"/>
    <col min="5904" max="5904" width="10.5703125" customWidth="1"/>
    <col min="5905" max="5905" width="8.140625" customWidth="1"/>
    <col min="5906" max="5906" width="6.7109375" customWidth="1"/>
    <col min="5907" max="5907" width="10.42578125" customWidth="1"/>
    <col min="5908" max="5908" width="10" customWidth="1"/>
    <col min="5909" max="5909" width="8.42578125" customWidth="1"/>
    <col min="5910" max="5910" width="8.5703125" customWidth="1"/>
    <col min="5911" max="5911" width="6.85546875" customWidth="1"/>
    <col min="5912" max="5912" width="8.85546875" customWidth="1"/>
    <col min="5913" max="5913" width="6.42578125" customWidth="1"/>
    <col min="5914" max="5914" width="9.85546875" customWidth="1"/>
    <col min="5915" max="5915" width="10.140625" customWidth="1"/>
    <col min="5916" max="5916" width="10.5703125" customWidth="1"/>
    <col min="6128" max="6128" width="3.140625" customWidth="1"/>
    <col min="6129" max="6129" width="15.7109375" customWidth="1"/>
    <col min="6130" max="6130" width="6.42578125" customWidth="1"/>
    <col min="6131" max="6131" width="4.7109375" customWidth="1"/>
    <col min="6132" max="6132" width="6.42578125" customWidth="1"/>
    <col min="6133" max="6133" width="7.28515625" customWidth="1"/>
    <col min="6134" max="6134" width="5.85546875" customWidth="1"/>
    <col min="6135" max="6135" width="5.7109375" customWidth="1"/>
    <col min="6136" max="6136" width="5.140625" customWidth="1"/>
    <col min="6137" max="6137" width="5.28515625" customWidth="1"/>
    <col min="6138" max="6138" width="7.140625" customWidth="1"/>
    <col min="6139" max="6139" width="7.85546875" customWidth="1"/>
    <col min="6140" max="6140" width="5.28515625" customWidth="1"/>
    <col min="6141" max="6141" width="9.5703125" customWidth="1"/>
    <col min="6142" max="6142" width="8.85546875" customWidth="1"/>
    <col min="6143" max="6143" width="7" customWidth="1"/>
    <col min="6144" max="6144" width="7.140625" customWidth="1"/>
    <col min="6145" max="6145" width="9.28515625" customWidth="1"/>
    <col min="6146" max="6146" width="8.85546875" customWidth="1"/>
    <col min="6147" max="6147" width="8" customWidth="1"/>
    <col min="6148" max="6148" width="9.28515625" customWidth="1"/>
    <col min="6149" max="6150" width="10.85546875" customWidth="1"/>
    <col min="6151" max="6151" width="10.7109375" customWidth="1"/>
    <col min="6152" max="6152" width="8.7109375" customWidth="1"/>
    <col min="6153" max="6153" width="8" customWidth="1"/>
    <col min="6154" max="6154" width="8.140625" customWidth="1"/>
    <col min="6155" max="6156" width="7.85546875" customWidth="1"/>
    <col min="6157" max="6157" width="11" customWidth="1"/>
    <col min="6158" max="6158" width="6.7109375" customWidth="1"/>
    <col min="6159" max="6159" width="10.5703125" bestFit="1" customWidth="1"/>
    <col min="6160" max="6160" width="10.5703125" customWidth="1"/>
    <col min="6161" max="6161" width="8.140625" customWidth="1"/>
    <col min="6162" max="6162" width="6.7109375" customWidth="1"/>
    <col min="6163" max="6163" width="10.42578125" customWidth="1"/>
    <col min="6164" max="6164" width="10" customWidth="1"/>
    <col min="6165" max="6165" width="8.42578125" customWidth="1"/>
    <col min="6166" max="6166" width="8.5703125" customWidth="1"/>
    <col min="6167" max="6167" width="6.85546875" customWidth="1"/>
    <col min="6168" max="6168" width="8.85546875" customWidth="1"/>
    <col min="6169" max="6169" width="6.42578125" customWidth="1"/>
    <col min="6170" max="6170" width="9.85546875" customWidth="1"/>
    <col min="6171" max="6171" width="10.140625" customWidth="1"/>
    <col min="6172" max="6172" width="10.5703125" customWidth="1"/>
    <col min="6384" max="6384" width="3.140625" customWidth="1"/>
    <col min="6385" max="6385" width="15.7109375" customWidth="1"/>
    <col min="6386" max="6386" width="6.42578125" customWidth="1"/>
    <col min="6387" max="6387" width="4.7109375" customWidth="1"/>
    <col min="6388" max="6388" width="6.42578125" customWidth="1"/>
    <col min="6389" max="6389" width="7.28515625" customWidth="1"/>
    <col min="6390" max="6390" width="5.85546875" customWidth="1"/>
    <col min="6391" max="6391" width="5.7109375" customWidth="1"/>
    <col min="6392" max="6392" width="5.140625" customWidth="1"/>
    <col min="6393" max="6393" width="5.28515625" customWidth="1"/>
    <col min="6394" max="6394" width="7.140625" customWidth="1"/>
    <col min="6395" max="6395" width="7.85546875" customWidth="1"/>
    <col min="6396" max="6396" width="5.28515625" customWidth="1"/>
    <col min="6397" max="6397" width="9.5703125" customWidth="1"/>
    <col min="6398" max="6398" width="8.85546875" customWidth="1"/>
    <col min="6399" max="6399" width="7" customWidth="1"/>
    <col min="6400" max="6400" width="7.140625" customWidth="1"/>
    <col min="6401" max="6401" width="9.28515625" customWidth="1"/>
    <col min="6402" max="6402" width="8.85546875" customWidth="1"/>
    <col min="6403" max="6403" width="8" customWidth="1"/>
    <col min="6404" max="6404" width="9.28515625" customWidth="1"/>
    <col min="6405" max="6406" width="10.85546875" customWidth="1"/>
    <col min="6407" max="6407" width="10.7109375" customWidth="1"/>
    <col min="6408" max="6408" width="8.7109375" customWidth="1"/>
    <col min="6409" max="6409" width="8" customWidth="1"/>
    <col min="6410" max="6410" width="8.140625" customWidth="1"/>
    <col min="6411" max="6412" width="7.85546875" customWidth="1"/>
    <col min="6413" max="6413" width="11" customWidth="1"/>
    <col min="6414" max="6414" width="6.7109375" customWidth="1"/>
    <col min="6415" max="6415" width="10.5703125" bestFit="1" customWidth="1"/>
    <col min="6416" max="6416" width="10.5703125" customWidth="1"/>
    <col min="6417" max="6417" width="8.140625" customWidth="1"/>
    <col min="6418" max="6418" width="6.7109375" customWidth="1"/>
    <col min="6419" max="6419" width="10.42578125" customWidth="1"/>
    <col min="6420" max="6420" width="10" customWidth="1"/>
    <col min="6421" max="6421" width="8.42578125" customWidth="1"/>
    <col min="6422" max="6422" width="8.5703125" customWidth="1"/>
    <col min="6423" max="6423" width="6.85546875" customWidth="1"/>
    <col min="6424" max="6424" width="8.85546875" customWidth="1"/>
    <col min="6425" max="6425" width="6.42578125" customWidth="1"/>
    <col min="6426" max="6426" width="9.85546875" customWidth="1"/>
    <col min="6427" max="6427" width="10.140625" customWidth="1"/>
    <col min="6428" max="6428" width="10.5703125" customWidth="1"/>
    <col min="6640" max="6640" width="3.140625" customWidth="1"/>
    <col min="6641" max="6641" width="15.7109375" customWidth="1"/>
    <col min="6642" max="6642" width="6.42578125" customWidth="1"/>
    <col min="6643" max="6643" width="4.7109375" customWidth="1"/>
    <col min="6644" max="6644" width="6.42578125" customWidth="1"/>
    <col min="6645" max="6645" width="7.28515625" customWidth="1"/>
    <col min="6646" max="6646" width="5.85546875" customWidth="1"/>
    <col min="6647" max="6647" width="5.7109375" customWidth="1"/>
    <col min="6648" max="6648" width="5.140625" customWidth="1"/>
    <col min="6649" max="6649" width="5.28515625" customWidth="1"/>
    <col min="6650" max="6650" width="7.140625" customWidth="1"/>
    <col min="6651" max="6651" width="7.85546875" customWidth="1"/>
    <col min="6652" max="6652" width="5.28515625" customWidth="1"/>
    <col min="6653" max="6653" width="9.5703125" customWidth="1"/>
    <col min="6654" max="6654" width="8.85546875" customWidth="1"/>
    <col min="6655" max="6655" width="7" customWidth="1"/>
    <col min="6656" max="6656" width="7.140625" customWidth="1"/>
    <col min="6657" max="6657" width="9.28515625" customWidth="1"/>
    <col min="6658" max="6658" width="8.85546875" customWidth="1"/>
    <col min="6659" max="6659" width="8" customWidth="1"/>
    <col min="6660" max="6660" width="9.28515625" customWidth="1"/>
    <col min="6661" max="6662" width="10.85546875" customWidth="1"/>
    <col min="6663" max="6663" width="10.7109375" customWidth="1"/>
    <col min="6664" max="6664" width="8.7109375" customWidth="1"/>
    <col min="6665" max="6665" width="8" customWidth="1"/>
    <col min="6666" max="6666" width="8.140625" customWidth="1"/>
    <col min="6667" max="6668" width="7.85546875" customWidth="1"/>
    <col min="6669" max="6669" width="11" customWidth="1"/>
    <col min="6670" max="6670" width="6.7109375" customWidth="1"/>
    <col min="6671" max="6671" width="10.5703125" bestFit="1" customWidth="1"/>
    <col min="6672" max="6672" width="10.5703125" customWidth="1"/>
    <col min="6673" max="6673" width="8.140625" customWidth="1"/>
    <col min="6674" max="6674" width="6.7109375" customWidth="1"/>
    <col min="6675" max="6675" width="10.42578125" customWidth="1"/>
    <col min="6676" max="6676" width="10" customWidth="1"/>
    <col min="6677" max="6677" width="8.42578125" customWidth="1"/>
    <col min="6678" max="6678" width="8.5703125" customWidth="1"/>
    <col min="6679" max="6679" width="6.85546875" customWidth="1"/>
    <col min="6680" max="6680" width="8.85546875" customWidth="1"/>
    <col min="6681" max="6681" width="6.42578125" customWidth="1"/>
    <col min="6682" max="6682" width="9.85546875" customWidth="1"/>
    <col min="6683" max="6683" width="10.140625" customWidth="1"/>
    <col min="6684" max="6684" width="10.5703125" customWidth="1"/>
    <col min="6896" max="6896" width="3.140625" customWidth="1"/>
    <col min="6897" max="6897" width="15.7109375" customWidth="1"/>
    <col min="6898" max="6898" width="6.42578125" customWidth="1"/>
    <col min="6899" max="6899" width="4.7109375" customWidth="1"/>
    <col min="6900" max="6900" width="6.42578125" customWidth="1"/>
    <col min="6901" max="6901" width="7.28515625" customWidth="1"/>
    <col min="6902" max="6902" width="5.85546875" customWidth="1"/>
    <col min="6903" max="6903" width="5.7109375" customWidth="1"/>
    <col min="6904" max="6904" width="5.140625" customWidth="1"/>
    <col min="6905" max="6905" width="5.28515625" customWidth="1"/>
    <col min="6906" max="6906" width="7.140625" customWidth="1"/>
    <col min="6907" max="6907" width="7.85546875" customWidth="1"/>
    <col min="6908" max="6908" width="5.28515625" customWidth="1"/>
    <col min="6909" max="6909" width="9.5703125" customWidth="1"/>
    <col min="6910" max="6910" width="8.85546875" customWidth="1"/>
    <col min="6911" max="6911" width="7" customWidth="1"/>
    <col min="6912" max="6912" width="7.140625" customWidth="1"/>
    <col min="6913" max="6913" width="9.28515625" customWidth="1"/>
    <col min="6914" max="6914" width="8.85546875" customWidth="1"/>
    <col min="6915" max="6915" width="8" customWidth="1"/>
    <col min="6916" max="6916" width="9.28515625" customWidth="1"/>
    <col min="6917" max="6918" width="10.85546875" customWidth="1"/>
    <col min="6919" max="6919" width="10.7109375" customWidth="1"/>
    <col min="6920" max="6920" width="8.7109375" customWidth="1"/>
    <col min="6921" max="6921" width="8" customWidth="1"/>
    <col min="6922" max="6922" width="8.140625" customWidth="1"/>
    <col min="6923" max="6924" width="7.85546875" customWidth="1"/>
    <col min="6925" max="6925" width="11" customWidth="1"/>
    <col min="6926" max="6926" width="6.7109375" customWidth="1"/>
    <col min="6927" max="6927" width="10.5703125" bestFit="1" customWidth="1"/>
    <col min="6928" max="6928" width="10.5703125" customWidth="1"/>
    <col min="6929" max="6929" width="8.140625" customWidth="1"/>
    <col min="6930" max="6930" width="6.7109375" customWidth="1"/>
    <col min="6931" max="6931" width="10.42578125" customWidth="1"/>
    <col min="6932" max="6932" width="10" customWidth="1"/>
    <col min="6933" max="6933" width="8.42578125" customWidth="1"/>
    <col min="6934" max="6934" width="8.5703125" customWidth="1"/>
    <col min="6935" max="6935" width="6.85546875" customWidth="1"/>
    <col min="6936" max="6936" width="8.85546875" customWidth="1"/>
    <col min="6937" max="6937" width="6.42578125" customWidth="1"/>
    <col min="6938" max="6938" width="9.85546875" customWidth="1"/>
    <col min="6939" max="6939" width="10.140625" customWidth="1"/>
    <col min="6940" max="6940" width="10.5703125" customWidth="1"/>
    <col min="7152" max="7152" width="3.140625" customWidth="1"/>
    <col min="7153" max="7153" width="15.7109375" customWidth="1"/>
    <col min="7154" max="7154" width="6.42578125" customWidth="1"/>
    <col min="7155" max="7155" width="4.7109375" customWidth="1"/>
    <col min="7156" max="7156" width="6.42578125" customWidth="1"/>
    <col min="7157" max="7157" width="7.28515625" customWidth="1"/>
    <col min="7158" max="7158" width="5.85546875" customWidth="1"/>
    <col min="7159" max="7159" width="5.7109375" customWidth="1"/>
    <col min="7160" max="7160" width="5.140625" customWidth="1"/>
    <col min="7161" max="7161" width="5.28515625" customWidth="1"/>
    <col min="7162" max="7162" width="7.140625" customWidth="1"/>
    <col min="7163" max="7163" width="7.85546875" customWidth="1"/>
    <col min="7164" max="7164" width="5.28515625" customWidth="1"/>
    <col min="7165" max="7165" width="9.5703125" customWidth="1"/>
    <col min="7166" max="7166" width="8.85546875" customWidth="1"/>
    <col min="7167" max="7167" width="7" customWidth="1"/>
    <col min="7168" max="7168" width="7.140625" customWidth="1"/>
    <col min="7169" max="7169" width="9.28515625" customWidth="1"/>
    <col min="7170" max="7170" width="8.85546875" customWidth="1"/>
    <col min="7171" max="7171" width="8" customWidth="1"/>
    <col min="7172" max="7172" width="9.28515625" customWidth="1"/>
    <col min="7173" max="7174" width="10.85546875" customWidth="1"/>
    <col min="7175" max="7175" width="10.7109375" customWidth="1"/>
    <col min="7176" max="7176" width="8.7109375" customWidth="1"/>
    <col min="7177" max="7177" width="8" customWidth="1"/>
    <col min="7178" max="7178" width="8.140625" customWidth="1"/>
    <col min="7179" max="7180" width="7.85546875" customWidth="1"/>
    <col min="7181" max="7181" width="11" customWidth="1"/>
    <col min="7182" max="7182" width="6.7109375" customWidth="1"/>
    <col min="7183" max="7183" width="10.5703125" bestFit="1" customWidth="1"/>
    <col min="7184" max="7184" width="10.5703125" customWidth="1"/>
    <col min="7185" max="7185" width="8.140625" customWidth="1"/>
    <col min="7186" max="7186" width="6.7109375" customWidth="1"/>
    <col min="7187" max="7187" width="10.42578125" customWidth="1"/>
    <col min="7188" max="7188" width="10" customWidth="1"/>
    <col min="7189" max="7189" width="8.42578125" customWidth="1"/>
    <col min="7190" max="7190" width="8.5703125" customWidth="1"/>
    <col min="7191" max="7191" width="6.85546875" customWidth="1"/>
    <col min="7192" max="7192" width="8.85546875" customWidth="1"/>
    <col min="7193" max="7193" width="6.42578125" customWidth="1"/>
    <col min="7194" max="7194" width="9.85546875" customWidth="1"/>
    <col min="7195" max="7195" width="10.140625" customWidth="1"/>
    <col min="7196" max="7196" width="10.5703125" customWidth="1"/>
    <col min="7408" max="7408" width="3.140625" customWidth="1"/>
    <col min="7409" max="7409" width="15.7109375" customWidth="1"/>
    <col min="7410" max="7410" width="6.42578125" customWidth="1"/>
    <col min="7411" max="7411" width="4.7109375" customWidth="1"/>
    <col min="7412" max="7412" width="6.42578125" customWidth="1"/>
    <col min="7413" max="7413" width="7.28515625" customWidth="1"/>
    <col min="7414" max="7414" width="5.85546875" customWidth="1"/>
    <col min="7415" max="7415" width="5.7109375" customWidth="1"/>
    <col min="7416" max="7416" width="5.140625" customWidth="1"/>
    <col min="7417" max="7417" width="5.28515625" customWidth="1"/>
    <col min="7418" max="7418" width="7.140625" customWidth="1"/>
    <col min="7419" max="7419" width="7.85546875" customWidth="1"/>
    <col min="7420" max="7420" width="5.28515625" customWidth="1"/>
    <col min="7421" max="7421" width="9.5703125" customWidth="1"/>
    <col min="7422" max="7422" width="8.85546875" customWidth="1"/>
    <col min="7423" max="7423" width="7" customWidth="1"/>
    <col min="7424" max="7424" width="7.140625" customWidth="1"/>
    <col min="7425" max="7425" width="9.28515625" customWidth="1"/>
    <col min="7426" max="7426" width="8.85546875" customWidth="1"/>
    <col min="7427" max="7427" width="8" customWidth="1"/>
    <col min="7428" max="7428" width="9.28515625" customWidth="1"/>
    <col min="7429" max="7430" width="10.85546875" customWidth="1"/>
    <col min="7431" max="7431" width="10.7109375" customWidth="1"/>
    <col min="7432" max="7432" width="8.7109375" customWidth="1"/>
    <col min="7433" max="7433" width="8" customWidth="1"/>
    <col min="7434" max="7434" width="8.140625" customWidth="1"/>
    <col min="7435" max="7436" width="7.85546875" customWidth="1"/>
    <col min="7437" max="7437" width="11" customWidth="1"/>
    <col min="7438" max="7438" width="6.7109375" customWidth="1"/>
    <col min="7439" max="7439" width="10.5703125" bestFit="1" customWidth="1"/>
    <col min="7440" max="7440" width="10.5703125" customWidth="1"/>
    <col min="7441" max="7441" width="8.140625" customWidth="1"/>
    <col min="7442" max="7442" width="6.7109375" customWidth="1"/>
    <col min="7443" max="7443" width="10.42578125" customWidth="1"/>
    <col min="7444" max="7444" width="10" customWidth="1"/>
    <col min="7445" max="7445" width="8.42578125" customWidth="1"/>
    <col min="7446" max="7446" width="8.5703125" customWidth="1"/>
    <col min="7447" max="7447" width="6.85546875" customWidth="1"/>
    <col min="7448" max="7448" width="8.85546875" customWidth="1"/>
    <col min="7449" max="7449" width="6.42578125" customWidth="1"/>
    <col min="7450" max="7450" width="9.85546875" customWidth="1"/>
    <col min="7451" max="7451" width="10.140625" customWidth="1"/>
    <col min="7452" max="7452" width="10.5703125" customWidth="1"/>
    <col min="7664" max="7664" width="3.140625" customWidth="1"/>
    <col min="7665" max="7665" width="15.7109375" customWidth="1"/>
    <col min="7666" max="7666" width="6.42578125" customWidth="1"/>
    <col min="7667" max="7667" width="4.7109375" customWidth="1"/>
    <col min="7668" max="7668" width="6.42578125" customWidth="1"/>
    <col min="7669" max="7669" width="7.28515625" customWidth="1"/>
    <col min="7670" max="7670" width="5.85546875" customWidth="1"/>
    <col min="7671" max="7671" width="5.7109375" customWidth="1"/>
    <col min="7672" max="7672" width="5.140625" customWidth="1"/>
    <col min="7673" max="7673" width="5.28515625" customWidth="1"/>
    <col min="7674" max="7674" width="7.140625" customWidth="1"/>
    <col min="7675" max="7675" width="7.85546875" customWidth="1"/>
    <col min="7676" max="7676" width="5.28515625" customWidth="1"/>
    <col min="7677" max="7677" width="9.5703125" customWidth="1"/>
    <col min="7678" max="7678" width="8.85546875" customWidth="1"/>
    <col min="7679" max="7679" width="7" customWidth="1"/>
    <col min="7680" max="7680" width="7.140625" customWidth="1"/>
    <col min="7681" max="7681" width="9.28515625" customWidth="1"/>
    <col min="7682" max="7682" width="8.85546875" customWidth="1"/>
    <col min="7683" max="7683" width="8" customWidth="1"/>
    <col min="7684" max="7684" width="9.28515625" customWidth="1"/>
    <col min="7685" max="7686" width="10.85546875" customWidth="1"/>
    <col min="7687" max="7687" width="10.7109375" customWidth="1"/>
    <col min="7688" max="7688" width="8.7109375" customWidth="1"/>
    <col min="7689" max="7689" width="8" customWidth="1"/>
    <col min="7690" max="7690" width="8.140625" customWidth="1"/>
    <col min="7691" max="7692" width="7.85546875" customWidth="1"/>
    <col min="7693" max="7693" width="11" customWidth="1"/>
    <col min="7694" max="7694" width="6.7109375" customWidth="1"/>
    <col min="7695" max="7695" width="10.5703125" bestFit="1" customWidth="1"/>
    <col min="7696" max="7696" width="10.5703125" customWidth="1"/>
    <col min="7697" max="7697" width="8.140625" customWidth="1"/>
    <col min="7698" max="7698" width="6.7109375" customWidth="1"/>
    <col min="7699" max="7699" width="10.42578125" customWidth="1"/>
    <col min="7700" max="7700" width="10" customWidth="1"/>
    <col min="7701" max="7701" width="8.42578125" customWidth="1"/>
    <col min="7702" max="7702" width="8.5703125" customWidth="1"/>
    <col min="7703" max="7703" width="6.85546875" customWidth="1"/>
    <col min="7704" max="7704" width="8.85546875" customWidth="1"/>
    <col min="7705" max="7705" width="6.42578125" customWidth="1"/>
    <col min="7706" max="7706" width="9.85546875" customWidth="1"/>
    <col min="7707" max="7707" width="10.140625" customWidth="1"/>
    <col min="7708" max="7708" width="10.5703125" customWidth="1"/>
    <col min="7920" max="7920" width="3.140625" customWidth="1"/>
    <col min="7921" max="7921" width="15.7109375" customWidth="1"/>
    <col min="7922" max="7922" width="6.42578125" customWidth="1"/>
    <col min="7923" max="7923" width="4.7109375" customWidth="1"/>
    <col min="7924" max="7924" width="6.42578125" customWidth="1"/>
    <col min="7925" max="7925" width="7.28515625" customWidth="1"/>
    <col min="7926" max="7926" width="5.85546875" customWidth="1"/>
    <col min="7927" max="7927" width="5.7109375" customWidth="1"/>
    <col min="7928" max="7928" width="5.140625" customWidth="1"/>
    <col min="7929" max="7929" width="5.28515625" customWidth="1"/>
    <col min="7930" max="7930" width="7.140625" customWidth="1"/>
    <col min="7931" max="7931" width="7.85546875" customWidth="1"/>
    <col min="7932" max="7932" width="5.28515625" customWidth="1"/>
    <col min="7933" max="7933" width="9.5703125" customWidth="1"/>
    <col min="7934" max="7934" width="8.85546875" customWidth="1"/>
    <col min="7935" max="7935" width="7" customWidth="1"/>
    <col min="7936" max="7936" width="7.140625" customWidth="1"/>
    <col min="7937" max="7937" width="9.28515625" customWidth="1"/>
    <col min="7938" max="7938" width="8.85546875" customWidth="1"/>
    <col min="7939" max="7939" width="8" customWidth="1"/>
    <col min="7940" max="7940" width="9.28515625" customWidth="1"/>
    <col min="7941" max="7942" width="10.85546875" customWidth="1"/>
    <col min="7943" max="7943" width="10.7109375" customWidth="1"/>
    <col min="7944" max="7944" width="8.7109375" customWidth="1"/>
    <col min="7945" max="7945" width="8" customWidth="1"/>
    <col min="7946" max="7946" width="8.140625" customWidth="1"/>
    <col min="7947" max="7948" width="7.85546875" customWidth="1"/>
    <col min="7949" max="7949" width="11" customWidth="1"/>
    <col min="7950" max="7950" width="6.7109375" customWidth="1"/>
    <col min="7951" max="7951" width="10.5703125" bestFit="1" customWidth="1"/>
    <col min="7952" max="7952" width="10.5703125" customWidth="1"/>
    <col min="7953" max="7953" width="8.140625" customWidth="1"/>
    <col min="7954" max="7954" width="6.7109375" customWidth="1"/>
    <col min="7955" max="7955" width="10.42578125" customWidth="1"/>
    <col min="7956" max="7956" width="10" customWidth="1"/>
    <col min="7957" max="7957" width="8.42578125" customWidth="1"/>
    <col min="7958" max="7958" width="8.5703125" customWidth="1"/>
    <col min="7959" max="7959" width="6.85546875" customWidth="1"/>
    <col min="7960" max="7960" width="8.85546875" customWidth="1"/>
    <col min="7961" max="7961" width="6.42578125" customWidth="1"/>
    <col min="7962" max="7962" width="9.85546875" customWidth="1"/>
    <col min="7963" max="7963" width="10.140625" customWidth="1"/>
    <col min="7964" max="7964" width="10.5703125" customWidth="1"/>
    <col min="8176" max="8176" width="3.140625" customWidth="1"/>
    <col min="8177" max="8177" width="15.7109375" customWidth="1"/>
    <col min="8178" max="8178" width="6.42578125" customWidth="1"/>
    <col min="8179" max="8179" width="4.7109375" customWidth="1"/>
    <col min="8180" max="8180" width="6.42578125" customWidth="1"/>
    <col min="8181" max="8181" width="7.28515625" customWidth="1"/>
    <col min="8182" max="8182" width="5.85546875" customWidth="1"/>
    <col min="8183" max="8183" width="5.7109375" customWidth="1"/>
    <col min="8184" max="8184" width="5.140625" customWidth="1"/>
    <col min="8185" max="8185" width="5.28515625" customWidth="1"/>
    <col min="8186" max="8186" width="7.140625" customWidth="1"/>
    <col min="8187" max="8187" width="7.85546875" customWidth="1"/>
    <col min="8188" max="8188" width="5.28515625" customWidth="1"/>
    <col min="8189" max="8189" width="9.5703125" customWidth="1"/>
    <col min="8190" max="8190" width="8.85546875" customWidth="1"/>
    <col min="8191" max="8191" width="7" customWidth="1"/>
    <col min="8192" max="8192" width="7.140625" customWidth="1"/>
    <col min="8193" max="8193" width="9.28515625" customWidth="1"/>
    <col min="8194" max="8194" width="8.85546875" customWidth="1"/>
    <col min="8195" max="8195" width="8" customWidth="1"/>
    <col min="8196" max="8196" width="9.28515625" customWidth="1"/>
    <col min="8197" max="8198" width="10.85546875" customWidth="1"/>
    <col min="8199" max="8199" width="10.7109375" customWidth="1"/>
    <col min="8200" max="8200" width="8.7109375" customWidth="1"/>
    <col min="8201" max="8201" width="8" customWidth="1"/>
    <col min="8202" max="8202" width="8.140625" customWidth="1"/>
    <col min="8203" max="8204" width="7.85546875" customWidth="1"/>
    <col min="8205" max="8205" width="11" customWidth="1"/>
    <col min="8206" max="8206" width="6.7109375" customWidth="1"/>
    <col min="8207" max="8207" width="10.5703125" bestFit="1" customWidth="1"/>
    <col min="8208" max="8208" width="10.5703125" customWidth="1"/>
    <col min="8209" max="8209" width="8.140625" customWidth="1"/>
    <col min="8210" max="8210" width="6.7109375" customWidth="1"/>
    <col min="8211" max="8211" width="10.42578125" customWidth="1"/>
    <col min="8212" max="8212" width="10" customWidth="1"/>
    <col min="8213" max="8213" width="8.42578125" customWidth="1"/>
    <col min="8214" max="8214" width="8.5703125" customWidth="1"/>
    <col min="8215" max="8215" width="6.85546875" customWidth="1"/>
    <col min="8216" max="8216" width="8.85546875" customWidth="1"/>
    <col min="8217" max="8217" width="6.42578125" customWidth="1"/>
    <col min="8218" max="8218" width="9.85546875" customWidth="1"/>
    <col min="8219" max="8219" width="10.140625" customWidth="1"/>
    <col min="8220" max="8220" width="10.5703125" customWidth="1"/>
    <col min="8432" max="8432" width="3.140625" customWidth="1"/>
    <col min="8433" max="8433" width="15.7109375" customWidth="1"/>
    <col min="8434" max="8434" width="6.42578125" customWidth="1"/>
    <col min="8435" max="8435" width="4.7109375" customWidth="1"/>
    <col min="8436" max="8436" width="6.42578125" customWidth="1"/>
    <col min="8437" max="8437" width="7.28515625" customWidth="1"/>
    <col min="8438" max="8438" width="5.85546875" customWidth="1"/>
    <col min="8439" max="8439" width="5.7109375" customWidth="1"/>
    <col min="8440" max="8440" width="5.140625" customWidth="1"/>
    <col min="8441" max="8441" width="5.28515625" customWidth="1"/>
    <col min="8442" max="8442" width="7.140625" customWidth="1"/>
    <col min="8443" max="8443" width="7.85546875" customWidth="1"/>
    <col min="8444" max="8444" width="5.28515625" customWidth="1"/>
    <col min="8445" max="8445" width="9.5703125" customWidth="1"/>
    <col min="8446" max="8446" width="8.85546875" customWidth="1"/>
    <col min="8447" max="8447" width="7" customWidth="1"/>
    <col min="8448" max="8448" width="7.140625" customWidth="1"/>
    <col min="8449" max="8449" width="9.28515625" customWidth="1"/>
    <col min="8450" max="8450" width="8.85546875" customWidth="1"/>
    <col min="8451" max="8451" width="8" customWidth="1"/>
    <col min="8452" max="8452" width="9.28515625" customWidth="1"/>
    <col min="8453" max="8454" width="10.85546875" customWidth="1"/>
    <col min="8455" max="8455" width="10.7109375" customWidth="1"/>
    <col min="8456" max="8456" width="8.7109375" customWidth="1"/>
    <col min="8457" max="8457" width="8" customWidth="1"/>
    <col min="8458" max="8458" width="8.140625" customWidth="1"/>
    <col min="8459" max="8460" width="7.85546875" customWidth="1"/>
    <col min="8461" max="8461" width="11" customWidth="1"/>
    <col min="8462" max="8462" width="6.7109375" customWidth="1"/>
    <col min="8463" max="8463" width="10.5703125" bestFit="1" customWidth="1"/>
    <col min="8464" max="8464" width="10.5703125" customWidth="1"/>
    <col min="8465" max="8465" width="8.140625" customWidth="1"/>
    <col min="8466" max="8466" width="6.7109375" customWidth="1"/>
    <col min="8467" max="8467" width="10.42578125" customWidth="1"/>
    <col min="8468" max="8468" width="10" customWidth="1"/>
    <col min="8469" max="8469" width="8.42578125" customWidth="1"/>
    <col min="8470" max="8470" width="8.5703125" customWidth="1"/>
    <col min="8471" max="8471" width="6.85546875" customWidth="1"/>
    <col min="8472" max="8472" width="8.85546875" customWidth="1"/>
    <col min="8473" max="8473" width="6.42578125" customWidth="1"/>
    <col min="8474" max="8474" width="9.85546875" customWidth="1"/>
    <col min="8475" max="8475" width="10.140625" customWidth="1"/>
    <col min="8476" max="8476" width="10.5703125" customWidth="1"/>
    <col min="8688" max="8688" width="3.140625" customWidth="1"/>
    <col min="8689" max="8689" width="15.7109375" customWidth="1"/>
    <col min="8690" max="8690" width="6.42578125" customWidth="1"/>
    <col min="8691" max="8691" width="4.7109375" customWidth="1"/>
    <col min="8692" max="8692" width="6.42578125" customWidth="1"/>
    <col min="8693" max="8693" width="7.28515625" customWidth="1"/>
    <col min="8694" max="8694" width="5.85546875" customWidth="1"/>
    <col min="8695" max="8695" width="5.7109375" customWidth="1"/>
    <col min="8696" max="8696" width="5.140625" customWidth="1"/>
    <col min="8697" max="8697" width="5.28515625" customWidth="1"/>
    <col min="8698" max="8698" width="7.140625" customWidth="1"/>
    <col min="8699" max="8699" width="7.85546875" customWidth="1"/>
    <col min="8700" max="8700" width="5.28515625" customWidth="1"/>
    <col min="8701" max="8701" width="9.5703125" customWidth="1"/>
    <col min="8702" max="8702" width="8.85546875" customWidth="1"/>
    <col min="8703" max="8703" width="7" customWidth="1"/>
    <col min="8704" max="8704" width="7.140625" customWidth="1"/>
    <col min="8705" max="8705" width="9.28515625" customWidth="1"/>
    <col min="8706" max="8706" width="8.85546875" customWidth="1"/>
    <col min="8707" max="8707" width="8" customWidth="1"/>
    <col min="8708" max="8708" width="9.28515625" customWidth="1"/>
    <col min="8709" max="8710" width="10.85546875" customWidth="1"/>
    <col min="8711" max="8711" width="10.7109375" customWidth="1"/>
    <col min="8712" max="8712" width="8.7109375" customWidth="1"/>
    <col min="8713" max="8713" width="8" customWidth="1"/>
    <col min="8714" max="8714" width="8.140625" customWidth="1"/>
    <col min="8715" max="8716" width="7.85546875" customWidth="1"/>
    <col min="8717" max="8717" width="11" customWidth="1"/>
    <col min="8718" max="8718" width="6.7109375" customWidth="1"/>
    <col min="8719" max="8719" width="10.5703125" bestFit="1" customWidth="1"/>
    <col min="8720" max="8720" width="10.5703125" customWidth="1"/>
    <col min="8721" max="8721" width="8.140625" customWidth="1"/>
    <col min="8722" max="8722" width="6.7109375" customWidth="1"/>
    <col min="8723" max="8723" width="10.42578125" customWidth="1"/>
    <col min="8724" max="8724" width="10" customWidth="1"/>
    <col min="8725" max="8725" width="8.42578125" customWidth="1"/>
    <col min="8726" max="8726" width="8.5703125" customWidth="1"/>
    <col min="8727" max="8727" width="6.85546875" customWidth="1"/>
    <col min="8728" max="8728" width="8.85546875" customWidth="1"/>
    <col min="8729" max="8729" width="6.42578125" customWidth="1"/>
    <col min="8730" max="8730" width="9.85546875" customWidth="1"/>
    <col min="8731" max="8731" width="10.140625" customWidth="1"/>
    <col min="8732" max="8732" width="10.5703125" customWidth="1"/>
    <col min="8944" max="8944" width="3.140625" customWidth="1"/>
    <col min="8945" max="8945" width="15.7109375" customWidth="1"/>
    <col min="8946" max="8946" width="6.42578125" customWidth="1"/>
    <col min="8947" max="8947" width="4.7109375" customWidth="1"/>
    <col min="8948" max="8948" width="6.42578125" customWidth="1"/>
    <col min="8949" max="8949" width="7.28515625" customWidth="1"/>
    <col min="8950" max="8950" width="5.85546875" customWidth="1"/>
    <col min="8951" max="8951" width="5.7109375" customWidth="1"/>
    <col min="8952" max="8952" width="5.140625" customWidth="1"/>
    <col min="8953" max="8953" width="5.28515625" customWidth="1"/>
    <col min="8954" max="8954" width="7.140625" customWidth="1"/>
    <col min="8955" max="8955" width="7.85546875" customWidth="1"/>
    <col min="8956" max="8956" width="5.28515625" customWidth="1"/>
    <col min="8957" max="8957" width="9.5703125" customWidth="1"/>
    <col min="8958" max="8958" width="8.85546875" customWidth="1"/>
    <col min="8959" max="8959" width="7" customWidth="1"/>
    <col min="8960" max="8960" width="7.140625" customWidth="1"/>
    <col min="8961" max="8961" width="9.28515625" customWidth="1"/>
    <col min="8962" max="8962" width="8.85546875" customWidth="1"/>
    <col min="8963" max="8963" width="8" customWidth="1"/>
    <col min="8964" max="8964" width="9.28515625" customWidth="1"/>
    <col min="8965" max="8966" width="10.85546875" customWidth="1"/>
    <col min="8967" max="8967" width="10.7109375" customWidth="1"/>
    <col min="8968" max="8968" width="8.7109375" customWidth="1"/>
    <col min="8969" max="8969" width="8" customWidth="1"/>
    <col min="8970" max="8970" width="8.140625" customWidth="1"/>
    <col min="8971" max="8972" width="7.85546875" customWidth="1"/>
    <col min="8973" max="8973" width="11" customWidth="1"/>
    <col min="8974" max="8974" width="6.7109375" customWidth="1"/>
    <col min="8975" max="8975" width="10.5703125" bestFit="1" customWidth="1"/>
    <col min="8976" max="8976" width="10.5703125" customWidth="1"/>
    <col min="8977" max="8977" width="8.140625" customWidth="1"/>
    <col min="8978" max="8978" width="6.7109375" customWidth="1"/>
    <col min="8979" max="8979" width="10.42578125" customWidth="1"/>
    <col min="8980" max="8980" width="10" customWidth="1"/>
    <col min="8981" max="8981" width="8.42578125" customWidth="1"/>
    <col min="8982" max="8982" width="8.5703125" customWidth="1"/>
    <col min="8983" max="8983" width="6.85546875" customWidth="1"/>
    <col min="8984" max="8984" width="8.85546875" customWidth="1"/>
    <col min="8985" max="8985" width="6.42578125" customWidth="1"/>
    <col min="8986" max="8986" width="9.85546875" customWidth="1"/>
    <col min="8987" max="8987" width="10.140625" customWidth="1"/>
    <col min="8988" max="8988" width="10.5703125" customWidth="1"/>
    <col min="9200" max="9200" width="3.140625" customWidth="1"/>
    <col min="9201" max="9201" width="15.7109375" customWidth="1"/>
    <col min="9202" max="9202" width="6.42578125" customWidth="1"/>
    <col min="9203" max="9203" width="4.7109375" customWidth="1"/>
    <col min="9204" max="9204" width="6.42578125" customWidth="1"/>
    <col min="9205" max="9205" width="7.28515625" customWidth="1"/>
    <col min="9206" max="9206" width="5.85546875" customWidth="1"/>
    <col min="9207" max="9207" width="5.7109375" customWidth="1"/>
    <col min="9208" max="9208" width="5.140625" customWidth="1"/>
    <col min="9209" max="9209" width="5.28515625" customWidth="1"/>
    <col min="9210" max="9210" width="7.140625" customWidth="1"/>
    <col min="9211" max="9211" width="7.85546875" customWidth="1"/>
    <col min="9212" max="9212" width="5.28515625" customWidth="1"/>
    <col min="9213" max="9213" width="9.5703125" customWidth="1"/>
    <col min="9214" max="9214" width="8.85546875" customWidth="1"/>
    <col min="9215" max="9215" width="7" customWidth="1"/>
    <col min="9216" max="9216" width="7.140625" customWidth="1"/>
    <col min="9217" max="9217" width="9.28515625" customWidth="1"/>
    <col min="9218" max="9218" width="8.85546875" customWidth="1"/>
    <col min="9219" max="9219" width="8" customWidth="1"/>
    <col min="9220" max="9220" width="9.28515625" customWidth="1"/>
    <col min="9221" max="9222" width="10.85546875" customWidth="1"/>
    <col min="9223" max="9223" width="10.7109375" customWidth="1"/>
    <col min="9224" max="9224" width="8.7109375" customWidth="1"/>
    <col min="9225" max="9225" width="8" customWidth="1"/>
    <col min="9226" max="9226" width="8.140625" customWidth="1"/>
    <col min="9227" max="9228" width="7.85546875" customWidth="1"/>
    <col min="9229" max="9229" width="11" customWidth="1"/>
    <col min="9230" max="9230" width="6.7109375" customWidth="1"/>
    <col min="9231" max="9231" width="10.5703125" bestFit="1" customWidth="1"/>
    <col min="9232" max="9232" width="10.5703125" customWidth="1"/>
    <col min="9233" max="9233" width="8.140625" customWidth="1"/>
    <col min="9234" max="9234" width="6.7109375" customWidth="1"/>
    <col min="9235" max="9235" width="10.42578125" customWidth="1"/>
    <col min="9236" max="9236" width="10" customWidth="1"/>
    <col min="9237" max="9237" width="8.42578125" customWidth="1"/>
    <col min="9238" max="9238" width="8.5703125" customWidth="1"/>
    <col min="9239" max="9239" width="6.85546875" customWidth="1"/>
    <col min="9240" max="9240" width="8.85546875" customWidth="1"/>
    <col min="9241" max="9241" width="6.42578125" customWidth="1"/>
    <col min="9242" max="9242" width="9.85546875" customWidth="1"/>
    <col min="9243" max="9243" width="10.140625" customWidth="1"/>
    <col min="9244" max="9244" width="10.5703125" customWidth="1"/>
    <col min="9456" max="9456" width="3.140625" customWidth="1"/>
    <col min="9457" max="9457" width="15.7109375" customWidth="1"/>
    <col min="9458" max="9458" width="6.42578125" customWidth="1"/>
    <col min="9459" max="9459" width="4.7109375" customWidth="1"/>
    <col min="9460" max="9460" width="6.42578125" customWidth="1"/>
    <col min="9461" max="9461" width="7.28515625" customWidth="1"/>
    <col min="9462" max="9462" width="5.85546875" customWidth="1"/>
    <col min="9463" max="9463" width="5.7109375" customWidth="1"/>
    <col min="9464" max="9464" width="5.140625" customWidth="1"/>
    <col min="9465" max="9465" width="5.28515625" customWidth="1"/>
    <col min="9466" max="9466" width="7.140625" customWidth="1"/>
    <col min="9467" max="9467" width="7.85546875" customWidth="1"/>
    <col min="9468" max="9468" width="5.28515625" customWidth="1"/>
    <col min="9469" max="9469" width="9.5703125" customWidth="1"/>
    <col min="9470" max="9470" width="8.85546875" customWidth="1"/>
    <col min="9471" max="9471" width="7" customWidth="1"/>
    <col min="9472" max="9472" width="7.140625" customWidth="1"/>
    <col min="9473" max="9473" width="9.28515625" customWidth="1"/>
    <col min="9474" max="9474" width="8.85546875" customWidth="1"/>
    <col min="9475" max="9475" width="8" customWidth="1"/>
    <col min="9476" max="9476" width="9.28515625" customWidth="1"/>
    <col min="9477" max="9478" width="10.85546875" customWidth="1"/>
    <col min="9479" max="9479" width="10.7109375" customWidth="1"/>
    <col min="9480" max="9480" width="8.7109375" customWidth="1"/>
    <col min="9481" max="9481" width="8" customWidth="1"/>
    <col min="9482" max="9482" width="8.140625" customWidth="1"/>
    <col min="9483" max="9484" width="7.85546875" customWidth="1"/>
    <col min="9485" max="9485" width="11" customWidth="1"/>
    <col min="9486" max="9486" width="6.7109375" customWidth="1"/>
    <col min="9487" max="9487" width="10.5703125" bestFit="1" customWidth="1"/>
    <col min="9488" max="9488" width="10.5703125" customWidth="1"/>
    <col min="9489" max="9489" width="8.140625" customWidth="1"/>
    <col min="9490" max="9490" width="6.7109375" customWidth="1"/>
    <col min="9491" max="9491" width="10.42578125" customWidth="1"/>
    <col min="9492" max="9492" width="10" customWidth="1"/>
    <col min="9493" max="9493" width="8.42578125" customWidth="1"/>
    <col min="9494" max="9494" width="8.5703125" customWidth="1"/>
    <col min="9495" max="9495" width="6.85546875" customWidth="1"/>
    <col min="9496" max="9496" width="8.85546875" customWidth="1"/>
    <col min="9497" max="9497" width="6.42578125" customWidth="1"/>
    <col min="9498" max="9498" width="9.85546875" customWidth="1"/>
    <col min="9499" max="9499" width="10.140625" customWidth="1"/>
    <col min="9500" max="9500" width="10.5703125" customWidth="1"/>
    <col min="9712" max="9712" width="3.140625" customWidth="1"/>
    <col min="9713" max="9713" width="15.7109375" customWidth="1"/>
    <col min="9714" max="9714" width="6.42578125" customWidth="1"/>
    <col min="9715" max="9715" width="4.7109375" customWidth="1"/>
    <col min="9716" max="9716" width="6.42578125" customWidth="1"/>
    <col min="9717" max="9717" width="7.28515625" customWidth="1"/>
    <col min="9718" max="9718" width="5.85546875" customWidth="1"/>
    <col min="9719" max="9719" width="5.7109375" customWidth="1"/>
    <col min="9720" max="9720" width="5.140625" customWidth="1"/>
    <col min="9721" max="9721" width="5.28515625" customWidth="1"/>
    <col min="9722" max="9722" width="7.140625" customWidth="1"/>
    <col min="9723" max="9723" width="7.85546875" customWidth="1"/>
    <col min="9724" max="9724" width="5.28515625" customWidth="1"/>
    <col min="9725" max="9725" width="9.5703125" customWidth="1"/>
    <col min="9726" max="9726" width="8.85546875" customWidth="1"/>
    <col min="9727" max="9727" width="7" customWidth="1"/>
    <col min="9728" max="9728" width="7.140625" customWidth="1"/>
    <col min="9729" max="9729" width="9.28515625" customWidth="1"/>
    <col min="9730" max="9730" width="8.85546875" customWidth="1"/>
    <col min="9731" max="9731" width="8" customWidth="1"/>
    <col min="9732" max="9732" width="9.28515625" customWidth="1"/>
    <col min="9733" max="9734" width="10.85546875" customWidth="1"/>
    <col min="9735" max="9735" width="10.7109375" customWidth="1"/>
    <col min="9736" max="9736" width="8.7109375" customWidth="1"/>
    <col min="9737" max="9737" width="8" customWidth="1"/>
    <col min="9738" max="9738" width="8.140625" customWidth="1"/>
    <col min="9739" max="9740" width="7.85546875" customWidth="1"/>
    <col min="9741" max="9741" width="11" customWidth="1"/>
    <col min="9742" max="9742" width="6.7109375" customWidth="1"/>
    <col min="9743" max="9743" width="10.5703125" bestFit="1" customWidth="1"/>
    <col min="9744" max="9744" width="10.5703125" customWidth="1"/>
    <col min="9745" max="9745" width="8.140625" customWidth="1"/>
    <col min="9746" max="9746" width="6.7109375" customWidth="1"/>
    <col min="9747" max="9747" width="10.42578125" customWidth="1"/>
    <col min="9748" max="9748" width="10" customWidth="1"/>
    <col min="9749" max="9749" width="8.42578125" customWidth="1"/>
    <col min="9750" max="9750" width="8.5703125" customWidth="1"/>
    <col min="9751" max="9751" width="6.85546875" customWidth="1"/>
    <col min="9752" max="9752" width="8.85546875" customWidth="1"/>
    <col min="9753" max="9753" width="6.42578125" customWidth="1"/>
    <col min="9754" max="9754" width="9.85546875" customWidth="1"/>
    <col min="9755" max="9755" width="10.140625" customWidth="1"/>
    <col min="9756" max="9756" width="10.5703125" customWidth="1"/>
    <col min="9968" max="9968" width="3.140625" customWidth="1"/>
    <col min="9969" max="9969" width="15.7109375" customWidth="1"/>
    <col min="9970" max="9970" width="6.42578125" customWidth="1"/>
    <col min="9971" max="9971" width="4.7109375" customWidth="1"/>
    <col min="9972" max="9972" width="6.42578125" customWidth="1"/>
    <col min="9973" max="9973" width="7.28515625" customWidth="1"/>
    <col min="9974" max="9974" width="5.85546875" customWidth="1"/>
    <col min="9975" max="9975" width="5.7109375" customWidth="1"/>
    <col min="9976" max="9976" width="5.140625" customWidth="1"/>
    <col min="9977" max="9977" width="5.28515625" customWidth="1"/>
    <col min="9978" max="9978" width="7.140625" customWidth="1"/>
    <col min="9979" max="9979" width="7.85546875" customWidth="1"/>
    <col min="9980" max="9980" width="5.28515625" customWidth="1"/>
    <col min="9981" max="9981" width="9.5703125" customWidth="1"/>
    <col min="9982" max="9982" width="8.85546875" customWidth="1"/>
    <col min="9983" max="9983" width="7" customWidth="1"/>
    <col min="9984" max="9984" width="7.140625" customWidth="1"/>
    <col min="9985" max="9985" width="9.28515625" customWidth="1"/>
    <col min="9986" max="9986" width="8.85546875" customWidth="1"/>
    <col min="9987" max="9987" width="8" customWidth="1"/>
    <col min="9988" max="9988" width="9.28515625" customWidth="1"/>
    <col min="9989" max="9990" width="10.85546875" customWidth="1"/>
    <col min="9991" max="9991" width="10.7109375" customWidth="1"/>
    <col min="9992" max="9992" width="8.7109375" customWidth="1"/>
    <col min="9993" max="9993" width="8" customWidth="1"/>
    <col min="9994" max="9994" width="8.140625" customWidth="1"/>
    <col min="9995" max="9996" width="7.85546875" customWidth="1"/>
    <col min="9997" max="9997" width="11" customWidth="1"/>
    <col min="9998" max="9998" width="6.7109375" customWidth="1"/>
    <col min="9999" max="9999" width="10.5703125" bestFit="1" customWidth="1"/>
    <col min="10000" max="10000" width="10.5703125" customWidth="1"/>
    <col min="10001" max="10001" width="8.140625" customWidth="1"/>
    <col min="10002" max="10002" width="6.7109375" customWidth="1"/>
    <col min="10003" max="10003" width="10.42578125" customWidth="1"/>
    <col min="10004" max="10004" width="10" customWidth="1"/>
    <col min="10005" max="10005" width="8.42578125" customWidth="1"/>
    <col min="10006" max="10006" width="8.5703125" customWidth="1"/>
    <col min="10007" max="10007" width="6.85546875" customWidth="1"/>
    <col min="10008" max="10008" width="8.85546875" customWidth="1"/>
    <col min="10009" max="10009" width="6.42578125" customWidth="1"/>
    <col min="10010" max="10010" width="9.85546875" customWidth="1"/>
    <col min="10011" max="10011" width="10.140625" customWidth="1"/>
    <col min="10012" max="10012" width="10.5703125" customWidth="1"/>
    <col min="10224" max="10224" width="3.140625" customWidth="1"/>
    <col min="10225" max="10225" width="15.7109375" customWidth="1"/>
    <col min="10226" max="10226" width="6.42578125" customWidth="1"/>
    <col min="10227" max="10227" width="4.7109375" customWidth="1"/>
    <col min="10228" max="10228" width="6.42578125" customWidth="1"/>
    <col min="10229" max="10229" width="7.28515625" customWidth="1"/>
    <col min="10230" max="10230" width="5.85546875" customWidth="1"/>
    <col min="10231" max="10231" width="5.7109375" customWidth="1"/>
    <col min="10232" max="10232" width="5.140625" customWidth="1"/>
    <col min="10233" max="10233" width="5.28515625" customWidth="1"/>
    <col min="10234" max="10234" width="7.140625" customWidth="1"/>
    <col min="10235" max="10235" width="7.85546875" customWidth="1"/>
    <col min="10236" max="10236" width="5.28515625" customWidth="1"/>
    <col min="10237" max="10237" width="9.5703125" customWidth="1"/>
    <col min="10238" max="10238" width="8.85546875" customWidth="1"/>
    <col min="10239" max="10239" width="7" customWidth="1"/>
    <col min="10240" max="10240" width="7.140625" customWidth="1"/>
    <col min="10241" max="10241" width="9.28515625" customWidth="1"/>
    <col min="10242" max="10242" width="8.85546875" customWidth="1"/>
    <col min="10243" max="10243" width="8" customWidth="1"/>
    <col min="10244" max="10244" width="9.28515625" customWidth="1"/>
    <col min="10245" max="10246" width="10.85546875" customWidth="1"/>
    <col min="10247" max="10247" width="10.7109375" customWidth="1"/>
    <col min="10248" max="10248" width="8.7109375" customWidth="1"/>
    <col min="10249" max="10249" width="8" customWidth="1"/>
    <col min="10250" max="10250" width="8.140625" customWidth="1"/>
    <col min="10251" max="10252" width="7.85546875" customWidth="1"/>
    <col min="10253" max="10253" width="11" customWidth="1"/>
    <col min="10254" max="10254" width="6.7109375" customWidth="1"/>
    <col min="10255" max="10255" width="10.5703125" bestFit="1" customWidth="1"/>
    <col min="10256" max="10256" width="10.5703125" customWidth="1"/>
    <col min="10257" max="10257" width="8.140625" customWidth="1"/>
    <col min="10258" max="10258" width="6.7109375" customWidth="1"/>
    <col min="10259" max="10259" width="10.42578125" customWidth="1"/>
    <col min="10260" max="10260" width="10" customWidth="1"/>
    <col min="10261" max="10261" width="8.42578125" customWidth="1"/>
    <col min="10262" max="10262" width="8.5703125" customWidth="1"/>
    <col min="10263" max="10263" width="6.85546875" customWidth="1"/>
    <col min="10264" max="10264" width="8.85546875" customWidth="1"/>
    <col min="10265" max="10265" width="6.42578125" customWidth="1"/>
    <col min="10266" max="10266" width="9.85546875" customWidth="1"/>
    <col min="10267" max="10267" width="10.140625" customWidth="1"/>
    <col min="10268" max="10268" width="10.5703125" customWidth="1"/>
    <col min="10480" max="10480" width="3.140625" customWidth="1"/>
    <col min="10481" max="10481" width="15.7109375" customWidth="1"/>
    <col min="10482" max="10482" width="6.42578125" customWidth="1"/>
    <col min="10483" max="10483" width="4.7109375" customWidth="1"/>
    <col min="10484" max="10484" width="6.42578125" customWidth="1"/>
    <col min="10485" max="10485" width="7.28515625" customWidth="1"/>
    <col min="10486" max="10486" width="5.85546875" customWidth="1"/>
    <col min="10487" max="10487" width="5.7109375" customWidth="1"/>
    <col min="10488" max="10488" width="5.140625" customWidth="1"/>
    <col min="10489" max="10489" width="5.28515625" customWidth="1"/>
    <col min="10490" max="10490" width="7.140625" customWidth="1"/>
    <col min="10491" max="10491" width="7.85546875" customWidth="1"/>
    <col min="10492" max="10492" width="5.28515625" customWidth="1"/>
    <col min="10493" max="10493" width="9.5703125" customWidth="1"/>
    <col min="10494" max="10494" width="8.85546875" customWidth="1"/>
    <col min="10495" max="10495" width="7" customWidth="1"/>
    <col min="10496" max="10496" width="7.140625" customWidth="1"/>
    <col min="10497" max="10497" width="9.28515625" customWidth="1"/>
    <col min="10498" max="10498" width="8.85546875" customWidth="1"/>
    <col min="10499" max="10499" width="8" customWidth="1"/>
    <col min="10500" max="10500" width="9.28515625" customWidth="1"/>
    <col min="10501" max="10502" width="10.85546875" customWidth="1"/>
    <col min="10503" max="10503" width="10.7109375" customWidth="1"/>
    <col min="10504" max="10504" width="8.7109375" customWidth="1"/>
    <col min="10505" max="10505" width="8" customWidth="1"/>
    <col min="10506" max="10506" width="8.140625" customWidth="1"/>
    <col min="10507" max="10508" width="7.85546875" customWidth="1"/>
    <col min="10509" max="10509" width="11" customWidth="1"/>
    <col min="10510" max="10510" width="6.7109375" customWidth="1"/>
    <col min="10511" max="10511" width="10.5703125" bestFit="1" customWidth="1"/>
    <col min="10512" max="10512" width="10.5703125" customWidth="1"/>
    <col min="10513" max="10513" width="8.140625" customWidth="1"/>
    <col min="10514" max="10514" width="6.7109375" customWidth="1"/>
    <col min="10515" max="10515" width="10.42578125" customWidth="1"/>
    <col min="10516" max="10516" width="10" customWidth="1"/>
    <col min="10517" max="10517" width="8.42578125" customWidth="1"/>
    <col min="10518" max="10518" width="8.5703125" customWidth="1"/>
    <col min="10519" max="10519" width="6.85546875" customWidth="1"/>
    <col min="10520" max="10520" width="8.85546875" customWidth="1"/>
    <col min="10521" max="10521" width="6.42578125" customWidth="1"/>
    <col min="10522" max="10522" width="9.85546875" customWidth="1"/>
    <col min="10523" max="10523" width="10.140625" customWidth="1"/>
    <col min="10524" max="10524" width="10.5703125" customWidth="1"/>
    <col min="10736" max="10736" width="3.140625" customWidth="1"/>
    <col min="10737" max="10737" width="15.7109375" customWidth="1"/>
    <col min="10738" max="10738" width="6.42578125" customWidth="1"/>
    <col min="10739" max="10739" width="4.7109375" customWidth="1"/>
    <col min="10740" max="10740" width="6.42578125" customWidth="1"/>
    <col min="10741" max="10741" width="7.28515625" customWidth="1"/>
    <col min="10742" max="10742" width="5.85546875" customWidth="1"/>
    <col min="10743" max="10743" width="5.7109375" customWidth="1"/>
    <col min="10744" max="10744" width="5.140625" customWidth="1"/>
    <col min="10745" max="10745" width="5.28515625" customWidth="1"/>
    <col min="10746" max="10746" width="7.140625" customWidth="1"/>
    <col min="10747" max="10747" width="7.85546875" customWidth="1"/>
    <col min="10748" max="10748" width="5.28515625" customWidth="1"/>
    <col min="10749" max="10749" width="9.5703125" customWidth="1"/>
    <col min="10750" max="10750" width="8.85546875" customWidth="1"/>
    <col min="10751" max="10751" width="7" customWidth="1"/>
    <col min="10752" max="10752" width="7.140625" customWidth="1"/>
    <col min="10753" max="10753" width="9.28515625" customWidth="1"/>
    <col min="10754" max="10754" width="8.85546875" customWidth="1"/>
    <col min="10755" max="10755" width="8" customWidth="1"/>
    <col min="10756" max="10756" width="9.28515625" customWidth="1"/>
    <col min="10757" max="10758" width="10.85546875" customWidth="1"/>
    <col min="10759" max="10759" width="10.7109375" customWidth="1"/>
    <col min="10760" max="10760" width="8.7109375" customWidth="1"/>
    <col min="10761" max="10761" width="8" customWidth="1"/>
    <col min="10762" max="10762" width="8.140625" customWidth="1"/>
    <col min="10763" max="10764" width="7.85546875" customWidth="1"/>
    <col min="10765" max="10765" width="11" customWidth="1"/>
    <col min="10766" max="10766" width="6.7109375" customWidth="1"/>
    <col min="10767" max="10767" width="10.5703125" bestFit="1" customWidth="1"/>
    <col min="10768" max="10768" width="10.5703125" customWidth="1"/>
    <col min="10769" max="10769" width="8.140625" customWidth="1"/>
    <col min="10770" max="10770" width="6.7109375" customWidth="1"/>
    <col min="10771" max="10771" width="10.42578125" customWidth="1"/>
    <col min="10772" max="10772" width="10" customWidth="1"/>
    <col min="10773" max="10773" width="8.42578125" customWidth="1"/>
    <col min="10774" max="10774" width="8.5703125" customWidth="1"/>
    <col min="10775" max="10775" width="6.85546875" customWidth="1"/>
    <col min="10776" max="10776" width="8.85546875" customWidth="1"/>
    <col min="10777" max="10777" width="6.42578125" customWidth="1"/>
    <col min="10778" max="10778" width="9.85546875" customWidth="1"/>
    <col min="10779" max="10779" width="10.140625" customWidth="1"/>
    <col min="10780" max="10780" width="10.5703125" customWidth="1"/>
    <col min="10992" max="10992" width="3.140625" customWidth="1"/>
    <col min="10993" max="10993" width="15.7109375" customWidth="1"/>
    <col min="10994" max="10994" width="6.42578125" customWidth="1"/>
    <col min="10995" max="10995" width="4.7109375" customWidth="1"/>
    <col min="10996" max="10996" width="6.42578125" customWidth="1"/>
    <col min="10997" max="10997" width="7.28515625" customWidth="1"/>
    <col min="10998" max="10998" width="5.85546875" customWidth="1"/>
    <col min="10999" max="10999" width="5.7109375" customWidth="1"/>
    <col min="11000" max="11000" width="5.140625" customWidth="1"/>
    <col min="11001" max="11001" width="5.28515625" customWidth="1"/>
    <col min="11002" max="11002" width="7.140625" customWidth="1"/>
    <col min="11003" max="11003" width="7.85546875" customWidth="1"/>
    <col min="11004" max="11004" width="5.28515625" customWidth="1"/>
    <col min="11005" max="11005" width="9.5703125" customWidth="1"/>
    <col min="11006" max="11006" width="8.85546875" customWidth="1"/>
    <col min="11007" max="11007" width="7" customWidth="1"/>
    <col min="11008" max="11008" width="7.140625" customWidth="1"/>
    <col min="11009" max="11009" width="9.28515625" customWidth="1"/>
    <col min="11010" max="11010" width="8.85546875" customWidth="1"/>
    <col min="11011" max="11011" width="8" customWidth="1"/>
    <col min="11012" max="11012" width="9.28515625" customWidth="1"/>
    <col min="11013" max="11014" width="10.85546875" customWidth="1"/>
    <col min="11015" max="11015" width="10.7109375" customWidth="1"/>
    <col min="11016" max="11016" width="8.7109375" customWidth="1"/>
    <col min="11017" max="11017" width="8" customWidth="1"/>
    <col min="11018" max="11018" width="8.140625" customWidth="1"/>
    <col min="11019" max="11020" width="7.85546875" customWidth="1"/>
    <col min="11021" max="11021" width="11" customWidth="1"/>
    <col min="11022" max="11022" width="6.7109375" customWidth="1"/>
    <col min="11023" max="11023" width="10.5703125" bestFit="1" customWidth="1"/>
    <col min="11024" max="11024" width="10.5703125" customWidth="1"/>
    <col min="11025" max="11025" width="8.140625" customWidth="1"/>
    <col min="11026" max="11026" width="6.7109375" customWidth="1"/>
    <col min="11027" max="11027" width="10.42578125" customWidth="1"/>
    <col min="11028" max="11028" width="10" customWidth="1"/>
    <col min="11029" max="11029" width="8.42578125" customWidth="1"/>
    <col min="11030" max="11030" width="8.5703125" customWidth="1"/>
    <col min="11031" max="11031" width="6.85546875" customWidth="1"/>
    <col min="11032" max="11032" width="8.85546875" customWidth="1"/>
    <col min="11033" max="11033" width="6.42578125" customWidth="1"/>
    <col min="11034" max="11034" width="9.85546875" customWidth="1"/>
    <col min="11035" max="11035" width="10.140625" customWidth="1"/>
    <col min="11036" max="11036" width="10.5703125" customWidth="1"/>
    <col min="11248" max="11248" width="3.140625" customWidth="1"/>
    <col min="11249" max="11249" width="15.7109375" customWidth="1"/>
    <col min="11250" max="11250" width="6.42578125" customWidth="1"/>
    <col min="11251" max="11251" width="4.7109375" customWidth="1"/>
    <col min="11252" max="11252" width="6.42578125" customWidth="1"/>
    <col min="11253" max="11253" width="7.28515625" customWidth="1"/>
    <col min="11254" max="11254" width="5.85546875" customWidth="1"/>
    <col min="11255" max="11255" width="5.7109375" customWidth="1"/>
    <col min="11256" max="11256" width="5.140625" customWidth="1"/>
    <col min="11257" max="11257" width="5.28515625" customWidth="1"/>
    <col min="11258" max="11258" width="7.140625" customWidth="1"/>
    <col min="11259" max="11259" width="7.85546875" customWidth="1"/>
    <col min="11260" max="11260" width="5.28515625" customWidth="1"/>
    <col min="11261" max="11261" width="9.5703125" customWidth="1"/>
    <col min="11262" max="11262" width="8.85546875" customWidth="1"/>
    <col min="11263" max="11263" width="7" customWidth="1"/>
    <col min="11264" max="11264" width="7.140625" customWidth="1"/>
    <col min="11265" max="11265" width="9.28515625" customWidth="1"/>
    <col min="11266" max="11266" width="8.85546875" customWidth="1"/>
    <col min="11267" max="11267" width="8" customWidth="1"/>
    <col min="11268" max="11268" width="9.28515625" customWidth="1"/>
    <col min="11269" max="11270" width="10.85546875" customWidth="1"/>
    <col min="11271" max="11271" width="10.7109375" customWidth="1"/>
    <col min="11272" max="11272" width="8.7109375" customWidth="1"/>
    <col min="11273" max="11273" width="8" customWidth="1"/>
    <col min="11274" max="11274" width="8.140625" customWidth="1"/>
    <col min="11275" max="11276" width="7.85546875" customWidth="1"/>
    <col min="11277" max="11277" width="11" customWidth="1"/>
    <col min="11278" max="11278" width="6.7109375" customWidth="1"/>
    <col min="11279" max="11279" width="10.5703125" bestFit="1" customWidth="1"/>
    <col min="11280" max="11280" width="10.5703125" customWidth="1"/>
    <col min="11281" max="11281" width="8.140625" customWidth="1"/>
    <col min="11282" max="11282" width="6.7109375" customWidth="1"/>
    <col min="11283" max="11283" width="10.42578125" customWidth="1"/>
    <col min="11284" max="11284" width="10" customWidth="1"/>
    <col min="11285" max="11285" width="8.42578125" customWidth="1"/>
    <col min="11286" max="11286" width="8.5703125" customWidth="1"/>
    <col min="11287" max="11287" width="6.85546875" customWidth="1"/>
    <col min="11288" max="11288" width="8.85546875" customWidth="1"/>
    <col min="11289" max="11289" width="6.42578125" customWidth="1"/>
    <col min="11290" max="11290" width="9.85546875" customWidth="1"/>
    <col min="11291" max="11291" width="10.140625" customWidth="1"/>
    <col min="11292" max="11292" width="10.5703125" customWidth="1"/>
    <col min="11504" max="11504" width="3.140625" customWidth="1"/>
    <col min="11505" max="11505" width="15.7109375" customWidth="1"/>
    <col min="11506" max="11506" width="6.42578125" customWidth="1"/>
    <col min="11507" max="11507" width="4.7109375" customWidth="1"/>
    <col min="11508" max="11508" width="6.42578125" customWidth="1"/>
    <col min="11509" max="11509" width="7.28515625" customWidth="1"/>
    <col min="11510" max="11510" width="5.85546875" customWidth="1"/>
    <col min="11511" max="11511" width="5.7109375" customWidth="1"/>
    <col min="11512" max="11512" width="5.140625" customWidth="1"/>
    <col min="11513" max="11513" width="5.28515625" customWidth="1"/>
    <col min="11514" max="11514" width="7.140625" customWidth="1"/>
    <col min="11515" max="11515" width="7.85546875" customWidth="1"/>
    <col min="11516" max="11516" width="5.28515625" customWidth="1"/>
    <col min="11517" max="11517" width="9.5703125" customWidth="1"/>
    <col min="11518" max="11518" width="8.85546875" customWidth="1"/>
    <col min="11519" max="11519" width="7" customWidth="1"/>
    <col min="11520" max="11520" width="7.140625" customWidth="1"/>
    <col min="11521" max="11521" width="9.28515625" customWidth="1"/>
    <col min="11522" max="11522" width="8.85546875" customWidth="1"/>
    <col min="11523" max="11523" width="8" customWidth="1"/>
    <col min="11524" max="11524" width="9.28515625" customWidth="1"/>
    <col min="11525" max="11526" width="10.85546875" customWidth="1"/>
    <col min="11527" max="11527" width="10.7109375" customWidth="1"/>
    <col min="11528" max="11528" width="8.7109375" customWidth="1"/>
    <col min="11529" max="11529" width="8" customWidth="1"/>
    <col min="11530" max="11530" width="8.140625" customWidth="1"/>
    <col min="11531" max="11532" width="7.85546875" customWidth="1"/>
    <col min="11533" max="11533" width="11" customWidth="1"/>
    <col min="11534" max="11534" width="6.7109375" customWidth="1"/>
    <col min="11535" max="11535" width="10.5703125" bestFit="1" customWidth="1"/>
    <col min="11536" max="11536" width="10.5703125" customWidth="1"/>
    <col min="11537" max="11537" width="8.140625" customWidth="1"/>
    <col min="11538" max="11538" width="6.7109375" customWidth="1"/>
    <col min="11539" max="11539" width="10.42578125" customWidth="1"/>
    <col min="11540" max="11540" width="10" customWidth="1"/>
    <col min="11541" max="11541" width="8.42578125" customWidth="1"/>
    <col min="11542" max="11542" width="8.5703125" customWidth="1"/>
    <col min="11543" max="11543" width="6.85546875" customWidth="1"/>
    <col min="11544" max="11544" width="8.85546875" customWidth="1"/>
    <col min="11545" max="11545" width="6.42578125" customWidth="1"/>
    <col min="11546" max="11546" width="9.85546875" customWidth="1"/>
    <col min="11547" max="11547" width="10.140625" customWidth="1"/>
    <col min="11548" max="11548" width="10.5703125" customWidth="1"/>
    <col min="11760" max="11760" width="3.140625" customWidth="1"/>
    <col min="11761" max="11761" width="15.7109375" customWidth="1"/>
    <col min="11762" max="11762" width="6.42578125" customWidth="1"/>
    <col min="11763" max="11763" width="4.7109375" customWidth="1"/>
    <col min="11764" max="11764" width="6.42578125" customWidth="1"/>
    <col min="11765" max="11765" width="7.28515625" customWidth="1"/>
    <col min="11766" max="11766" width="5.85546875" customWidth="1"/>
    <col min="11767" max="11767" width="5.7109375" customWidth="1"/>
    <col min="11768" max="11768" width="5.140625" customWidth="1"/>
    <col min="11769" max="11769" width="5.28515625" customWidth="1"/>
    <col min="11770" max="11770" width="7.140625" customWidth="1"/>
    <col min="11771" max="11771" width="7.85546875" customWidth="1"/>
    <col min="11772" max="11772" width="5.28515625" customWidth="1"/>
    <col min="11773" max="11773" width="9.5703125" customWidth="1"/>
    <col min="11774" max="11774" width="8.85546875" customWidth="1"/>
    <col min="11775" max="11775" width="7" customWidth="1"/>
    <col min="11776" max="11776" width="7.140625" customWidth="1"/>
    <col min="11777" max="11777" width="9.28515625" customWidth="1"/>
    <col min="11778" max="11778" width="8.85546875" customWidth="1"/>
    <col min="11779" max="11779" width="8" customWidth="1"/>
    <col min="11780" max="11780" width="9.28515625" customWidth="1"/>
    <col min="11781" max="11782" width="10.85546875" customWidth="1"/>
    <col min="11783" max="11783" width="10.7109375" customWidth="1"/>
    <col min="11784" max="11784" width="8.7109375" customWidth="1"/>
    <col min="11785" max="11785" width="8" customWidth="1"/>
    <col min="11786" max="11786" width="8.140625" customWidth="1"/>
    <col min="11787" max="11788" width="7.85546875" customWidth="1"/>
    <col min="11789" max="11789" width="11" customWidth="1"/>
    <col min="11790" max="11790" width="6.7109375" customWidth="1"/>
    <col min="11791" max="11791" width="10.5703125" bestFit="1" customWidth="1"/>
    <col min="11792" max="11792" width="10.5703125" customWidth="1"/>
    <col min="11793" max="11793" width="8.140625" customWidth="1"/>
    <col min="11794" max="11794" width="6.7109375" customWidth="1"/>
    <col min="11795" max="11795" width="10.42578125" customWidth="1"/>
    <col min="11796" max="11796" width="10" customWidth="1"/>
    <col min="11797" max="11797" width="8.42578125" customWidth="1"/>
    <col min="11798" max="11798" width="8.5703125" customWidth="1"/>
    <col min="11799" max="11799" width="6.85546875" customWidth="1"/>
    <col min="11800" max="11800" width="8.85546875" customWidth="1"/>
    <col min="11801" max="11801" width="6.42578125" customWidth="1"/>
    <col min="11802" max="11802" width="9.85546875" customWidth="1"/>
    <col min="11803" max="11803" width="10.140625" customWidth="1"/>
    <col min="11804" max="11804" width="10.5703125" customWidth="1"/>
    <col min="12016" max="12016" width="3.140625" customWidth="1"/>
    <col min="12017" max="12017" width="15.7109375" customWidth="1"/>
    <col min="12018" max="12018" width="6.42578125" customWidth="1"/>
    <col min="12019" max="12019" width="4.7109375" customWidth="1"/>
    <col min="12020" max="12020" width="6.42578125" customWidth="1"/>
    <col min="12021" max="12021" width="7.28515625" customWidth="1"/>
    <col min="12022" max="12022" width="5.85546875" customWidth="1"/>
    <col min="12023" max="12023" width="5.7109375" customWidth="1"/>
    <col min="12024" max="12024" width="5.140625" customWidth="1"/>
    <col min="12025" max="12025" width="5.28515625" customWidth="1"/>
    <col min="12026" max="12026" width="7.140625" customWidth="1"/>
    <col min="12027" max="12027" width="7.85546875" customWidth="1"/>
    <col min="12028" max="12028" width="5.28515625" customWidth="1"/>
    <col min="12029" max="12029" width="9.5703125" customWidth="1"/>
    <col min="12030" max="12030" width="8.85546875" customWidth="1"/>
    <col min="12031" max="12031" width="7" customWidth="1"/>
    <col min="12032" max="12032" width="7.140625" customWidth="1"/>
    <col min="12033" max="12033" width="9.28515625" customWidth="1"/>
    <col min="12034" max="12034" width="8.85546875" customWidth="1"/>
    <col min="12035" max="12035" width="8" customWidth="1"/>
    <col min="12036" max="12036" width="9.28515625" customWidth="1"/>
    <col min="12037" max="12038" width="10.85546875" customWidth="1"/>
    <col min="12039" max="12039" width="10.7109375" customWidth="1"/>
    <col min="12040" max="12040" width="8.7109375" customWidth="1"/>
    <col min="12041" max="12041" width="8" customWidth="1"/>
    <col min="12042" max="12042" width="8.140625" customWidth="1"/>
    <col min="12043" max="12044" width="7.85546875" customWidth="1"/>
    <col min="12045" max="12045" width="11" customWidth="1"/>
    <col min="12046" max="12046" width="6.7109375" customWidth="1"/>
    <col min="12047" max="12047" width="10.5703125" bestFit="1" customWidth="1"/>
    <col min="12048" max="12048" width="10.5703125" customWidth="1"/>
    <col min="12049" max="12049" width="8.140625" customWidth="1"/>
    <col min="12050" max="12050" width="6.7109375" customWidth="1"/>
    <col min="12051" max="12051" width="10.42578125" customWidth="1"/>
    <col min="12052" max="12052" width="10" customWidth="1"/>
    <col min="12053" max="12053" width="8.42578125" customWidth="1"/>
    <col min="12054" max="12054" width="8.5703125" customWidth="1"/>
    <col min="12055" max="12055" width="6.85546875" customWidth="1"/>
    <col min="12056" max="12056" width="8.85546875" customWidth="1"/>
    <col min="12057" max="12057" width="6.42578125" customWidth="1"/>
    <col min="12058" max="12058" width="9.85546875" customWidth="1"/>
    <col min="12059" max="12059" width="10.140625" customWidth="1"/>
    <col min="12060" max="12060" width="10.5703125" customWidth="1"/>
    <col min="12272" max="12272" width="3.140625" customWidth="1"/>
    <col min="12273" max="12273" width="15.7109375" customWidth="1"/>
    <col min="12274" max="12274" width="6.42578125" customWidth="1"/>
    <col min="12275" max="12275" width="4.7109375" customWidth="1"/>
    <col min="12276" max="12276" width="6.42578125" customWidth="1"/>
    <col min="12277" max="12277" width="7.28515625" customWidth="1"/>
    <col min="12278" max="12278" width="5.85546875" customWidth="1"/>
    <col min="12279" max="12279" width="5.7109375" customWidth="1"/>
    <col min="12280" max="12280" width="5.140625" customWidth="1"/>
    <col min="12281" max="12281" width="5.28515625" customWidth="1"/>
    <col min="12282" max="12282" width="7.140625" customWidth="1"/>
    <col min="12283" max="12283" width="7.85546875" customWidth="1"/>
    <col min="12284" max="12284" width="5.28515625" customWidth="1"/>
    <col min="12285" max="12285" width="9.5703125" customWidth="1"/>
    <col min="12286" max="12286" width="8.85546875" customWidth="1"/>
    <col min="12287" max="12287" width="7" customWidth="1"/>
    <col min="12288" max="12288" width="7.140625" customWidth="1"/>
    <col min="12289" max="12289" width="9.28515625" customWidth="1"/>
    <col min="12290" max="12290" width="8.85546875" customWidth="1"/>
    <col min="12291" max="12291" width="8" customWidth="1"/>
    <col min="12292" max="12292" width="9.28515625" customWidth="1"/>
    <col min="12293" max="12294" width="10.85546875" customWidth="1"/>
    <col min="12295" max="12295" width="10.7109375" customWidth="1"/>
    <col min="12296" max="12296" width="8.7109375" customWidth="1"/>
    <col min="12297" max="12297" width="8" customWidth="1"/>
    <col min="12298" max="12298" width="8.140625" customWidth="1"/>
    <col min="12299" max="12300" width="7.85546875" customWidth="1"/>
    <col min="12301" max="12301" width="11" customWidth="1"/>
    <col min="12302" max="12302" width="6.7109375" customWidth="1"/>
    <col min="12303" max="12303" width="10.5703125" bestFit="1" customWidth="1"/>
    <col min="12304" max="12304" width="10.5703125" customWidth="1"/>
    <col min="12305" max="12305" width="8.140625" customWidth="1"/>
    <col min="12306" max="12306" width="6.7109375" customWidth="1"/>
    <col min="12307" max="12307" width="10.42578125" customWidth="1"/>
    <col min="12308" max="12308" width="10" customWidth="1"/>
    <col min="12309" max="12309" width="8.42578125" customWidth="1"/>
    <col min="12310" max="12310" width="8.5703125" customWidth="1"/>
    <col min="12311" max="12311" width="6.85546875" customWidth="1"/>
    <col min="12312" max="12312" width="8.85546875" customWidth="1"/>
    <col min="12313" max="12313" width="6.42578125" customWidth="1"/>
    <col min="12314" max="12314" width="9.85546875" customWidth="1"/>
    <col min="12315" max="12315" width="10.140625" customWidth="1"/>
    <col min="12316" max="12316" width="10.5703125" customWidth="1"/>
    <col min="12528" max="12528" width="3.140625" customWidth="1"/>
    <col min="12529" max="12529" width="15.7109375" customWidth="1"/>
    <col min="12530" max="12530" width="6.42578125" customWidth="1"/>
    <col min="12531" max="12531" width="4.7109375" customWidth="1"/>
    <col min="12532" max="12532" width="6.42578125" customWidth="1"/>
    <col min="12533" max="12533" width="7.28515625" customWidth="1"/>
    <col min="12534" max="12534" width="5.85546875" customWidth="1"/>
    <col min="12535" max="12535" width="5.7109375" customWidth="1"/>
    <col min="12536" max="12536" width="5.140625" customWidth="1"/>
    <col min="12537" max="12537" width="5.28515625" customWidth="1"/>
    <col min="12538" max="12538" width="7.140625" customWidth="1"/>
    <col min="12539" max="12539" width="7.85546875" customWidth="1"/>
    <col min="12540" max="12540" width="5.28515625" customWidth="1"/>
    <col min="12541" max="12541" width="9.5703125" customWidth="1"/>
    <col min="12542" max="12542" width="8.85546875" customWidth="1"/>
    <col min="12543" max="12543" width="7" customWidth="1"/>
    <col min="12544" max="12544" width="7.140625" customWidth="1"/>
    <col min="12545" max="12545" width="9.28515625" customWidth="1"/>
    <col min="12546" max="12546" width="8.85546875" customWidth="1"/>
    <col min="12547" max="12547" width="8" customWidth="1"/>
    <col min="12548" max="12548" width="9.28515625" customWidth="1"/>
    <col min="12549" max="12550" width="10.85546875" customWidth="1"/>
    <col min="12551" max="12551" width="10.7109375" customWidth="1"/>
    <col min="12552" max="12552" width="8.7109375" customWidth="1"/>
    <col min="12553" max="12553" width="8" customWidth="1"/>
    <col min="12554" max="12554" width="8.140625" customWidth="1"/>
    <col min="12555" max="12556" width="7.85546875" customWidth="1"/>
    <col min="12557" max="12557" width="11" customWidth="1"/>
    <col min="12558" max="12558" width="6.7109375" customWidth="1"/>
    <col min="12559" max="12559" width="10.5703125" bestFit="1" customWidth="1"/>
    <col min="12560" max="12560" width="10.5703125" customWidth="1"/>
    <col min="12561" max="12561" width="8.140625" customWidth="1"/>
    <col min="12562" max="12562" width="6.7109375" customWidth="1"/>
    <col min="12563" max="12563" width="10.42578125" customWidth="1"/>
    <col min="12564" max="12564" width="10" customWidth="1"/>
    <col min="12565" max="12565" width="8.42578125" customWidth="1"/>
    <col min="12566" max="12566" width="8.5703125" customWidth="1"/>
    <col min="12567" max="12567" width="6.85546875" customWidth="1"/>
    <col min="12568" max="12568" width="8.85546875" customWidth="1"/>
    <col min="12569" max="12569" width="6.42578125" customWidth="1"/>
    <col min="12570" max="12570" width="9.85546875" customWidth="1"/>
    <col min="12571" max="12571" width="10.140625" customWidth="1"/>
    <col min="12572" max="12572" width="10.5703125" customWidth="1"/>
    <col min="12784" max="12784" width="3.140625" customWidth="1"/>
    <col min="12785" max="12785" width="15.7109375" customWidth="1"/>
    <col min="12786" max="12786" width="6.42578125" customWidth="1"/>
    <col min="12787" max="12787" width="4.7109375" customWidth="1"/>
    <col min="12788" max="12788" width="6.42578125" customWidth="1"/>
    <col min="12789" max="12789" width="7.28515625" customWidth="1"/>
    <col min="12790" max="12790" width="5.85546875" customWidth="1"/>
    <col min="12791" max="12791" width="5.7109375" customWidth="1"/>
    <col min="12792" max="12792" width="5.140625" customWidth="1"/>
    <col min="12793" max="12793" width="5.28515625" customWidth="1"/>
    <col min="12794" max="12794" width="7.140625" customWidth="1"/>
    <col min="12795" max="12795" width="7.85546875" customWidth="1"/>
    <col min="12796" max="12796" width="5.28515625" customWidth="1"/>
    <col min="12797" max="12797" width="9.5703125" customWidth="1"/>
    <col min="12798" max="12798" width="8.85546875" customWidth="1"/>
    <col min="12799" max="12799" width="7" customWidth="1"/>
    <col min="12800" max="12800" width="7.140625" customWidth="1"/>
    <col min="12801" max="12801" width="9.28515625" customWidth="1"/>
    <col min="12802" max="12802" width="8.85546875" customWidth="1"/>
    <col min="12803" max="12803" width="8" customWidth="1"/>
    <col min="12804" max="12804" width="9.28515625" customWidth="1"/>
    <col min="12805" max="12806" width="10.85546875" customWidth="1"/>
    <col min="12807" max="12807" width="10.7109375" customWidth="1"/>
    <col min="12808" max="12808" width="8.7109375" customWidth="1"/>
    <col min="12809" max="12809" width="8" customWidth="1"/>
    <col min="12810" max="12810" width="8.140625" customWidth="1"/>
    <col min="12811" max="12812" width="7.85546875" customWidth="1"/>
    <col min="12813" max="12813" width="11" customWidth="1"/>
    <col min="12814" max="12814" width="6.7109375" customWidth="1"/>
    <col min="12815" max="12815" width="10.5703125" bestFit="1" customWidth="1"/>
    <col min="12816" max="12816" width="10.5703125" customWidth="1"/>
    <col min="12817" max="12817" width="8.140625" customWidth="1"/>
    <col min="12818" max="12818" width="6.7109375" customWidth="1"/>
    <col min="12819" max="12819" width="10.42578125" customWidth="1"/>
    <col min="12820" max="12820" width="10" customWidth="1"/>
    <col min="12821" max="12821" width="8.42578125" customWidth="1"/>
    <col min="12822" max="12822" width="8.5703125" customWidth="1"/>
    <col min="12823" max="12823" width="6.85546875" customWidth="1"/>
    <col min="12824" max="12824" width="8.85546875" customWidth="1"/>
    <col min="12825" max="12825" width="6.42578125" customWidth="1"/>
    <col min="12826" max="12826" width="9.85546875" customWidth="1"/>
    <col min="12827" max="12827" width="10.140625" customWidth="1"/>
    <col min="12828" max="12828" width="10.5703125" customWidth="1"/>
    <col min="13040" max="13040" width="3.140625" customWidth="1"/>
    <col min="13041" max="13041" width="15.7109375" customWidth="1"/>
    <col min="13042" max="13042" width="6.42578125" customWidth="1"/>
    <col min="13043" max="13043" width="4.7109375" customWidth="1"/>
    <col min="13044" max="13044" width="6.42578125" customWidth="1"/>
    <col min="13045" max="13045" width="7.28515625" customWidth="1"/>
    <col min="13046" max="13046" width="5.85546875" customWidth="1"/>
    <col min="13047" max="13047" width="5.7109375" customWidth="1"/>
    <col min="13048" max="13048" width="5.140625" customWidth="1"/>
    <col min="13049" max="13049" width="5.28515625" customWidth="1"/>
    <col min="13050" max="13050" width="7.140625" customWidth="1"/>
    <col min="13051" max="13051" width="7.85546875" customWidth="1"/>
    <col min="13052" max="13052" width="5.28515625" customWidth="1"/>
    <col min="13053" max="13053" width="9.5703125" customWidth="1"/>
    <col min="13054" max="13054" width="8.85546875" customWidth="1"/>
    <col min="13055" max="13055" width="7" customWidth="1"/>
    <col min="13056" max="13056" width="7.140625" customWidth="1"/>
    <col min="13057" max="13057" width="9.28515625" customWidth="1"/>
    <col min="13058" max="13058" width="8.85546875" customWidth="1"/>
    <col min="13059" max="13059" width="8" customWidth="1"/>
    <col min="13060" max="13060" width="9.28515625" customWidth="1"/>
    <col min="13061" max="13062" width="10.85546875" customWidth="1"/>
    <col min="13063" max="13063" width="10.7109375" customWidth="1"/>
    <col min="13064" max="13064" width="8.7109375" customWidth="1"/>
    <col min="13065" max="13065" width="8" customWidth="1"/>
    <col min="13066" max="13066" width="8.140625" customWidth="1"/>
    <col min="13067" max="13068" width="7.85546875" customWidth="1"/>
    <col min="13069" max="13069" width="11" customWidth="1"/>
    <col min="13070" max="13070" width="6.7109375" customWidth="1"/>
    <col min="13071" max="13071" width="10.5703125" bestFit="1" customWidth="1"/>
    <col min="13072" max="13072" width="10.5703125" customWidth="1"/>
    <col min="13073" max="13073" width="8.140625" customWidth="1"/>
    <col min="13074" max="13074" width="6.7109375" customWidth="1"/>
    <col min="13075" max="13075" width="10.42578125" customWidth="1"/>
    <col min="13076" max="13076" width="10" customWidth="1"/>
    <col min="13077" max="13077" width="8.42578125" customWidth="1"/>
    <col min="13078" max="13078" width="8.5703125" customWidth="1"/>
    <col min="13079" max="13079" width="6.85546875" customWidth="1"/>
    <col min="13080" max="13080" width="8.85546875" customWidth="1"/>
    <col min="13081" max="13081" width="6.42578125" customWidth="1"/>
    <col min="13082" max="13082" width="9.85546875" customWidth="1"/>
    <col min="13083" max="13083" width="10.140625" customWidth="1"/>
    <col min="13084" max="13084" width="10.5703125" customWidth="1"/>
    <col min="13296" max="13296" width="3.140625" customWidth="1"/>
    <col min="13297" max="13297" width="15.7109375" customWidth="1"/>
    <col min="13298" max="13298" width="6.42578125" customWidth="1"/>
    <col min="13299" max="13299" width="4.7109375" customWidth="1"/>
    <col min="13300" max="13300" width="6.42578125" customWidth="1"/>
    <col min="13301" max="13301" width="7.28515625" customWidth="1"/>
    <col min="13302" max="13302" width="5.85546875" customWidth="1"/>
    <col min="13303" max="13303" width="5.7109375" customWidth="1"/>
    <col min="13304" max="13304" width="5.140625" customWidth="1"/>
    <col min="13305" max="13305" width="5.28515625" customWidth="1"/>
    <col min="13306" max="13306" width="7.140625" customWidth="1"/>
    <col min="13307" max="13307" width="7.85546875" customWidth="1"/>
    <col min="13308" max="13308" width="5.28515625" customWidth="1"/>
    <col min="13309" max="13309" width="9.5703125" customWidth="1"/>
    <col min="13310" max="13310" width="8.85546875" customWidth="1"/>
    <col min="13311" max="13311" width="7" customWidth="1"/>
    <col min="13312" max="13312" width="7.140625" customWidth="1"/>
    <col min="13313" max="13313" width="9.28515625" customWidth="1"/>
    <col min="13314" max="13314" width="8.85546875" customWidth="1"/>
    <col min="13315" max="13315" width="8" customWidth="1"/>
    <col min="13316" max="13316" width="9.28515625" customWidth="1"/>
    <col min="13317" max="13318" width="10.85546875" customWidth="1"/>
    <col min="13319" max="13319" width="10.7109375" customWidth="1"/>
    <col min="13320" max="13320" width="8.7109375" customWidth="1"/>
    <col min="13321" max="13321" width="8" customWidth="1"/>
    <col min="13322" max="13322" width="8.140625" customWidth="1"/>
    <col min="13323" max="13324" width="7.85546875" customWidth="1"/>
    <col min="13325" max="13325" width="11" customWidth="1"/>
    <col min="13326" max="13326" width="6.7109375" customWidth="1"/>
    <col min="13327" max="13327" width="10.5703125" bestFit="1" customWidth="1"/>
    <col min="13328" max="13328" width="10.5703125" customWidth="1"/>
    <col min="13329" max="13329" width="8.140625" customWidth="1"/>
    <col min="13330" max="13330" width="6.7109375" customWidth="1"/>
    <col min="13331" max="13331" width="10.42578125" customWidth="1"/>
    <col min="13332" max="13332" width="10" customWidth="1"/>
    <col min="13333" max="13333" width="8.42578125" customWidth="1"/>
    <col min="13334" max="13334" width="8.5703125" customWidth="1"/>
    <col min="13335" max="13335" width="6.85546875" customWidth="1"/>
    <col min="13336" max="13336" width="8.85546875" customWidth="1"/>
    <col min="13337" max="13337" width="6.42578125" customWidth="1"/>
    <col min="13338" max="13338" width="9.85546875" customWidth="1"/>
    <col min="13339" max="13339" width="10.140625" customWidth="1"/>
    <col min="13340" max="13340" width="10.5703125" customWidth="1"/>
    <col min="13552" max="13552" width="3.140625" customWidth="1"/>
    <col min="13553" max="13553" width="15.7109375" customWidth="1"/>
    <col min="13554" max="13554" width="6.42578125" customWidth="1"/>
    <col min="13555" max="13555" width="4.7109375" customWidth="1"/>
    <col min="13556" max="13556" width="6.42578125" customWidth="1"/>
    <col min="13557" max="13557" width="7.28515625" customWidth="1"/>
    <col min="13558" max="13558" width="5.85546875" customWidth="1"/>
    <col min="13559" max="13559" width="5.7109375" customWidth="1"/>
    <col min="13560" max="13560" width="5.140625" customWidth="1"/>
    <col min="13561" max="13561" width="5.28515625" customWidth="1"/>
    <col min="13562" max="13562" width="7.140625" customWidth="1"/>
    <col min="13563" max="13563" width="7.85546875" customWidth="1"/>
    <col min="13564" max="13564" width="5.28515625" customWidth="1"/>
    <col min="13565" max="13565" width="9.5703125" customWidth="1"/>
    <col min="13566" max="13566" width="8.85546875" customWidth="1"/>
    <col min="13567" max="13567" width="7" customWidth="1"/>
    <col min="13568" max="13568" width="7.140625" customWidth="1"/>
    <col min="13569" max="13569" width="9.28515625" customWidth="1"/>
    <col min="13570" max="13570" width="8.85546875" customWidth="1"/>
    <col min="13571" max="13571" width="8" customWidth="1"/>
    <col min="13572" max="13572" width="9.28515625" customWidth="1"/>
    <col min="13573" max="13574" width="10.85546875" customWidth="1"/>
    <col min="13575" max="13575" width="10.7109375" customWidth="1"/>
    <col min="13576" max="13576" width="8.7109375" customWidth="1"/>
    <col min="13577" max="13577" width="8" customWidth="1"/>
    <col min="13578" max="13578" width="8.140625" customWidth="1"/>
    <col min="13579" max="13580" width="7.85546875" customWidth="1"/>
    <col min="13581" max="13581" width="11" customWidth="1"/>
    <col min="13582" max="13582" width="6.7109375" customWidth="1"/>
    <col min="13583" max="13583" width="10.5703125" bestFit="1" customWidth="1"/>
    <col min="13584" max="13584" width="10.5703125" customWidth="1"/>
    <col min="13585" max="13585" width="8.140625" customWidth="1"/>
    <col min="13586" max="13586" width="6.7109375" customWidth="1"/>
    <col min="13587" max="13587" width="10.42578125" customWidth="1"/>
    <col min="13588" max="13588" width="10" customWidth="1"/>
    <col min="13589" max="13589" width="8.42578125" customWidth="1"/>
    <col min="13590" max="13590" width="8.5703125" customWidth="1"/>
    <col min="13591" max="13591" width="6.85546875" customWidth="1"/>
    <col min="13592" max="13592" width="8.85546875" customWidth="1"/>
    <col min="13593" max="13593" width="6.42578125" customWidth="1"/>
    <col min="13594" max="13594" width="9.85546875" customWidth="1"/>
    <col min="13595" max="13595" width="10.140625" customWidth="1"/>
    <col min="13596" max="13596" width="10.5703125" customWidth="1"/>
    <col min="13808" max="13808" width="3.140625" customWidth="1"/>
    <col min="13809" max="13809" width="15.7109375" customWidth="1"/>
    <col min="13810" max="13810" width="6.42578125" customWidth="1"/>
    <col min="13811" max="13811" width="4.7109375" customWidth="1"/>
    <col min="13812" max="13812" width="6.42578125" customWidth="1"/>
    <col min="13813" max="13813" width="7.28515625" customWidth="1"/>
    <col min="13814" max="13814" width="5.85546875" customWidth="1"/>
    <col min="13815" max="13815" width="5.7109375" customWidth="1"/>
    <col min="13816" max="13816" width="5.140625" customWidth="1"/>
    <col min="13817" max="13817" width="5.28515625" customWidth="1"/>
    <col min="13818" max="13818" width="7.140625" customWidth="1"/>
    <col min="13819" max="13819" width="7.85546875" customWidth="1"/>
    <col min="13820" max="13820" width="5.28515625" customWidth="1"/>
    <col min="13821" max="13821" width="9.5703125" customWidth="1"/>
    <col min="13822" max="13822" width="8.85546875" customWidth="1"/>
    <col min="13823" max="13823" width="7" customWidth="1"/>
    <col min="13824" max="13824" width="7.140625" customWidth="1"/>
    <col min="13825" max="13825" width="9.28515625" customWidth="1"/>
    <col min="13826" max="13826" width="8.85546875" customWidth="1"/>
    <col min="13827" max="13827" width="8" customWidth="1"/>
    <col min="13828" max="13828" width="9.28515625" customWidth="1"/>
    <col min="13829" max="13830" width="10.85546875" customWidth="1"/>
    <col min="13831" max="13831" width="10.7109375" customWidth="1"/>
    <col min="13832" max="13832" width="8.7109375" customWidth="1"/>
    <col min="13833" max="13833" width="8" customWidth="1"/>
    <col min="13834" max="13834" width="8.140625" customWidth="1"/>
    <col min="13835" max="13836" width="7.85546875" customWidth="1"/>
    <col min="13837" max="13837" width="11" customWidth="1"/>
    <col min="13838" max="13838" width="6.7109375" customWidth="1"/>
    <col min="13839" max="13839" width="10.5703125" bestFit="1" customWidth="1"/>
    <col min="13840" max="13840" width="10.5703125" customWidth="1"/>
    <col min="13841" max="13841" width="8.140625" customWidth="1"/>
    <col min="13842" max="13842" width="6.7109375" customWidth="1"/>
    <col min="13843" max="13843" width="10.42578125" customWidth="1"/>
    <col min="13844" max="13844" width="10" customWidth="1"/>
    <col min="13845" max="13845" width="8.42578125" customWidth="1"/>
    <col min="13846" max="13846" width="8.5703125" customWidth="1"/>
    <col min="13847" max="13847" width="6.85546875" customWidth="1"/>
    <col min="13848" max="13848" width="8.85546875" customWidth="1"/>
    <col min="13849" max="13849" width="6.42578125" customWidth="1"/>
    <col min="13850" max="13850" width="9.85546875" customWidth="1"/>
    <col min="13851" max="13851" width="10.140625" customWidth="1"/>
    <col min="13852" max="13852" width="10.5703125" customWidth="1"/>
    <col min="14064" max="14064" width="3.140625" customWidth="1"/>
    <col min="14065" max="14065" width="15.7109375" customWidth="1"/>
    <col min="14066" max="14066" width="6.42578125" customWidth="1"/>
    <col min="14067" max="14067" width="4.7109375" customWidth="1"/>
    <col min="14068" max="14068" width="6.42578125" customWidth="1"/>
    <col min="14069" max="14069" width="7.28515625" customWidth="1"/>
    <col min="14070" max="14070" width="5.85546875" customWidth="1"/>
    <col min="14071" max="14071" width="5.7109375" customWidth="1"/>
    <col min="14072" max="14072" width="5.140625" customWidth="1"/>
    <col min="14073" max="14073" width="5.28515625" customWidth="1"/>
    <col min="14074" max="14074" width="7.140625" customWidth="1"/>
    <col min="14075" max="14075" width="7.85546875" customWidth="1"/>
    <col min="14076" max="14076" width="5.28515625" customWidth="1"/>
    <col min="14077" max="14077" width="9.5703125" customWidth="1"/>
    <col min="14078" max="14078" width="8.85546875" customWidth="1"/>
    <col min="14079" max="14079" width="7" customWidth="1"/>
    <col min="14080" max="14080" width="7.140625" customWidth="1"/>
    <col min="14081" max="14081" width="9.28515625" customWidth="1"/>
    <col min="14082" max="14082" width="8.85546875" customWidth="1"/>
    <col min="14083" max="14083" width="8" customWidth="1"/>
    <col min="14084" max="14084" width="9.28515625" customWidth="1"/>
    <col min="14085" max="14086" width="10.85546875" customWidth="1"/>
    <col min="14087" max="14087" width="10.7109375" customWidth="1"/>
    <col min="14088" max="14088" width="8.7109375" customWidth="1"/>
    <col min="14089" max="14089" width="8" customWidth="1"/>
    <col min="14090" max="14090" width="8.140625" customWidth="1"/>
    <col min="14091" max="14092" width="7.85546875" customWidth="1"/>
    <col min="14093" max="14093" width="11" customWidth="1"/>
    <col min="14094" max="14094" width="6.7109375" customWidth="1"/>
    <col min="14095" max="14095" width="10.5703125" bestFit="1" customWidth="1"/>
    <col min="14096" max="14096" width="10.5703125" customWidth="1"/>
    <col min="14097" max="14097" width="8.140625" customWidth="1"/>
    <col min="14098" max="14098" width="6.7109375" customWidth="1"/>
    <col min="14099" max="14099" width="10.42578125" customWidth="1"/>
    <col min="14100" max="14100" width="10" customWidth="1"/>
    <col min="14101" max="14101" width="8.42578125" customWidth="1"/>
    <col min="14102" max="14102" width="8.5703125" customWidth="1"/>
    <col min="14103" max="14103" width="6.85546875" customWidth="1"/>
    <col min="14104" max="14104" width="8.85546875" customWidth="1"/>
    <col min="14105" max="14105" width="6.42578125" customWidth="1"/>
    <col min="14106" max="14106" width="9.85546875" customWidth="1"/>
    <col min="14107" max="14107" width="10.140625" customWidth="1"/>
    <col min="14108" max="14108" width="10.5703125" customWidth="1"/>
    <col min="14320" max="14320" width="3.140625" customWidth="1"/>
    <col min="14321" max="14321" width="15.7109375" customWidth="1"/>
    <col min="14322" max="14322" width="6.42578125" customWidth="1"/>
    <col min="14323" max="14323" width="4.7109375" customWidth="1"/>
    <col min="14324" max="14324" width="6.42578125" customWidth="1"/>
    <col min="14325" max="14325" width="7.28515625" customWidth="1"/>
    <col min="14326" max="14326" width="5.85546875" customWidth="1"/>
    <col min="14327" max="14327" width="5.7109375" customWidth="1"/>
    <col min="14328" max="14328" width="5.140625" customWidth="1"/>
    <col min="14329" max="14329" width="5.28515625" customWidth="1"/>
    <col min="14330" max="14330" width="7.140625" customWidth="1"/>
    <col min="14331" max="14331" width="7.85546875" customWidth="1"/>
    <col min="14332" max="14332" width="5.28515625" customWidth="1"/>
    <col min="14333" max="14333" width="9.5703125" customWidth="1"/>
    <col min="14334" max="14334" width="8.85546875" customWidth="1"/>
    <col min="14335" max="14335" width="7" customWidth="1"/>
    <col min="14336" max="14336" width="7.140625" customWidth="1"/>
    <col min="14337" max="14337" width="9.28515625" customWidth="1"/>
    <col min="14338" max="14338" width="8.85546875" customWidth="1"/>
    <col min="14339" max="14339" width="8" customWidth="1"/>
    <col min="14340" max="14340" width="9.28515625" customWidth="1"/>
    <col min="14341" max="14342" width="10.85546875" customWidth="1"/>
    <col min="14343" max="14343" width="10.7109375" customWidth="1"/>
    <col min="14344" max="14344" width="8.7109375" customWidth="1"/>
    <col min="14345" max="14345" width="8" customWidth="1"/>
    <col min="14346" max="14346" width="8.140625" customWidth="1"/>
    <col min="14347" max="14348" width="7.85546875" customWidth="1"/>
    <col min="14349" max="14349" width="11" customWidth="1"/>
    <col min="14350" max="14350" width="6.7109375" customWidth="1"/>
    <col min="14351" max="14351" width="10.5703125" bestFit="1" customWidth="1"/>
    <col min="14352" max="14352" width="10.5703125" customWidth="1"/>
    <col min="14353" max="14353" width="8.140625" customWidth="1"/>
    <col min="14354" max="14354" width="6.7109375" customWidth="1"/>
    <col min="14355" max="14355" width="10.42578125" customWidth="1"/>
    <col min="14356" max="14356" width="10" customWidth="1"/>
    <col min="14357" max="14357" width="8.42578125" customWidth="1"/>
    <col min="14358" max="14358" width="8.5703125" customWidth="1"/>
    <col min="14359" max="14359" width="6.85546875" customWidth="1"/>
    <col min="14360" max="14360" width="8.85546875" customWidth="1"/>
    <col min="14361" max="14361" width="6.42578125" customWidth="1"/>
    <col min="14362" max="14362" width="9.85546875" customWidth="1"/>
    <col min="14363" max="14363" width="10.140625" customWidth="1"/>
    <col min="14364" max="14364" width="10.5703125" customWidth="1"/>
    <col min="14576" max="14576" width="3.140625" customWidth="1"/>
    <col min="14577" max="14577" width="15.7109375" customWidth="1"/>
    <col min="14578" max="14578" width="6.42578125" customWidth="1"/>
    <col min="14579" max="14579" width="4.7109375" customWidth="1"/>
    <col min="14580" max="14580" width="6.42578125" customWidth="1"/>
    <col min="14581" max="14581" width="7.28515625" customWidth="1"/>
    <col min="14582" max="14582" width="5.85546875" customWidth="1"/>
    <col min="14583" max="14583" width="5.7109375" customWidth="1"/>
    <col min="14584" max="14584" width="5.140625" customWidth="1"/>
    <col min="14585" max="14585" width="5.28515625" customWidth="1"/>
    <col min="14586" max="14586" width="7.140625" customWidth="1"/>
    <col min="14587" max="14587" width="7.85546875" customWidth="1"/>
    <col min="14588" max="14588" width="5.28515625" customWidth="1"/>
    <col min="14589" max="14589" width="9.5703125" customWidth="1"/>
    <col min="14590" max="14590" width="8.85546875" customWidth="1"/>
    <col min="14591" max="14591" width="7" customWidth="1"/>
    <col min="14592" max="14592" width="7.140625" customWidth="1"/>
    <col min="14593" max="14593" width="9.28515625" customWidth="1"/>
    <col min="14594" max="14594" width="8.85546875" customWidth="1"/>
    <col min="14595" max="14595" width="8" customWidth="1"/>
    <col min="14596" max="14596" width="9.28515625" customWidth="1"/>
    <col min="14597" max="14598" width="10.85546875" customWidth="1"/>
    <col min="14599" max="14599" width="10.7109375" customWidth="1"/>
    <col min="14600" max="14600" width="8.7109375" customWidth="1"/>
    <col min="14601" max="14601" width="8" customWidth="1"/>
    <col min="14602" max="14602" width="8.140625" customWidth="1"/>
    <col min="14603" max="14604" width="7.85546875" customWidth="1"/>
    <col min="14605" max="14605" width="11" customWidth="1"/>
    <col min="14606" max="14606" width="6.7109375" customWidth="1"/>
    <col min="14607" max="14607" width="10.5703125" bestFit="1" customWidth="1"/>
    <col min="14608" max="14608" width="10.5703125" customWidth="1"/>
    <col min="14609" max="14609" width="8.140625" customWidth="1"/>
    <col min="14610" max="14610" width="6.7109375" customWidth="1"/>
    <col min="14611" max="14611" width="10.42578125" customWidth="1"/>
    <col min="14612" max="14612" width="10" customWidth="1"/>
    <col min="14613" max="14613" width="8.42578125" customWidth="1"/>
    <col min="14614" max="14614" width="8.5703125" customWidth="1"/>
    <col min="14615" max="14615" width="6.85546875" customWidth="1"/>
    <col min="14616" max="14616" width="8.85546875" customWidth="1"/>
    <col min="14617" max="14617" width="6.42578125" customWidth="1"/>
    <col min="14618" max="14618" width="9.85546875" customWidth="1"/>
    <col min="14619" max="14619" width="10.140625" customWidth="1"/>
    <col min="14620" max="14620" width="10.5703125" customWidth="1"/>
    <col min="14832" max="14832" width="3.140625" customWidth="1"/>
    <col min="14833" max="14833" width="15.7109375" customWidth="1"/>
    <col min="14834" max="14834" width="6.42578125" customWidth="1"/>
    <col min="14835" max="14835" width="4.7109375" customWidth="1"/>
    <col min="14836" max="14836" width="6.42578125" customWidth="1"/>
    <col min="14837" max="14837" width="7.28515625" customWidth="1"/>
    <col min="14838" max="14838" width="5.85546875" customWidth="1"/>
    <col min="14839" max="14839" width="5.7109375" customWidth="1"/>
    <col min="14840" max="14840" width="5.140625" customWidth="1"/>
    <col min="14841" max="14841" width="5.28515625" customWidth="1"/>
    <col min="14842" max="14842" width="7.140625" customWidth="1"/>
    <col min="14843" max="14843" width="7.85546875" customWidth="1"/>
    <col min="14844" max="14844" width="5.28515625" customWidth="1"/>
    <col min="14845" max="14845" width="9.5703125" customWidth="1"/>
    <col min="14846" max="14846" width="8.85546875" customWidth="1"/>
    <col min="14847" max="14847" width="7" customWidth="1"/>
    <col min="14848" max="14848" width="7.140625" customWidth="1"/>
    <col min="14849" max="14849" width="9.28515625" customWidth="1"/>
    <col min="14850" max="14850" width="8.85546875" customWidth="1"/>
    <col min="14851" max="14851" width="8" customWidth="1"/>
    <col min="14852" max="14852" width="9.28515625" customWidth="1"/>
    <col min="14853" max="14854" width="10.85546875" customWidth="1"/>
    <col min="14855" max="14855" width="10.7109375" customWidth="1"/>
    <col min="14856" max="14856" width="8.7109375" customWidth="1"/>
    <col min="14857" max="14857" width="8" customWidth="1"/>
    <col min="14858" max="14858" width="8.140625" customWidth="1"/>
    <col min="14859" max="14860" width="7.85546875" customWidth="1"/>
    <col min="14861" max="14861" width="11" customWidth="1"/>
    <col min="14862" max="14862" width="6.7109375" customWidth="1"/>
    <col min="14863" max="14863" width="10.5703125" bestFit="1" customWidth="1"/>
    <col min="14864" max="14864" width="10.5703125" customWidth="1"/>
    <col min="14865" max="14865" width="8.140625" customWidth="1"/>
    <col min="14866" max="14866" width="6.7109375" customWidth="1"/>
    <col min="14867" max="14867" width="10.42578125" customWidth="1"/>
    <col min="14868" max="14868" width="10" customWidth="1"/>
    <col min="14869" max="14869" width="8.42578125" customWidth="1"/>
    <col min="14870" max="14870" width="8.5703125" customWidth="1"/>
    <col min="14871" max="14871" width="6.85546875" customWidth="1"/>
    <col min="14872" max="14872" width="8.85546875" customWidth="1"/>
    <col min="14873" max="14873" width="6.42578125" customWidth="1"/>
    <col min="14874" max="14874" width="9.85546875" customWidth="1"/>
    <col min="14875" max="14875" width="10.140625" customWidth="1"/>
    <col min="14876" max="14876" width="10.5703125" customWidth="1"/>
    <col min="15088" max="15088" width="3.140625" customWidth="1"/>
    <col min="15089" max="15089" width="15.7109375" customWidth="1"/>
    <col min="15090" max="15090" width="6.42578125" customWidth="1"/>
    <col min="15091" max="15091" width="4.7109375" customWidth="1"/>
    <col min="15092" max="15092" width="6.42578125" customWidth="1"/>
    <col min="15093" max="15093" width="7.28515625" customWidth="1"/>
    <col min="15094" max="15094" width="5.85546875" customWidth="1"/>
    <col min="15095" max="15095" width="5.7109375" customWidth="1"/>
    <col min="15096" max="15096" width="5.140625" customWidth="1"/>
    <col min="15097" max="15097" width="5.28515625" customWidth="1"/>
    <col min="15098" max="15098" width="7.140625" customWidth="1"/>
    <col min="15099" max="15099" width="7.85546875" customWidth="1"/>
    <col min="15100" max="15100" width="5.28515625" customWidth="1"/>
    <col min="15101" max="15101" width="9.5703125" customWidth="1"/>
    <col min="15102" max="15102" width="8.85546875" customWidth="1"/>
    <col min="15103" max="15103" width="7" customWidth="1"/>
    <col min="15104" max="15104" width="7.140625" customWidth="1"/>
    <col min="15105" max="15105" width="9.28515625" customWidth="1"/>
    <col min="15106" max="15106" width="8.85546875" customWidth="1"/>
    <col min="15107" max="15107" width="8" customWidth="1"/>
    <col min="15108" max="15108" width="9.28515625" customWidth="1"/>
    <col min="15109" max="15110" width="10.85546875" customWidth="1"/>
    <col min="15111" max="15111" width="10.7109375" customWidth="1"/>
    <col min="15112" max="15112" width="8.7109375" customWidth="1"/>
    <col min="15113" max="15113" width="8" customWidth="1"/>
    <col min="15114" max="15114" width="8.140625" customWidth="1"/>
    <col min="15115" max="15116" width="7.85546875" customWidth="1"/>
    <col min="15117" max="15117" width="11" customWidth="1"/>
    <col min="15118" max="15118" width="6.7109375" customWidth="1"/>
    <col min="15119" max="15119" width="10.5703125" bestFit="1" customWidth="1"/>
    <col min="15120" max="15120" width="10.5703125" customWidth="1"/>
    <col min="15121" max="15121" width="8.140625" customWidth="1"/>
    <col min="15122" max="15122" width="6.7109375" customWidth="1"/>
    <col min="15123" max="15123" width="10.42578125" customWidth="1"/>
    <col min="15124" max="15124" width="10" customWidth="1"/>
    <col min="15125" max="15125" width="8.42578125" customWidth="1"/>
    <col min="15126" max="15126" width="8.5703125" customWidth="1"/>
    <col min="15127" max="15127" width="6.85546875" customWidth="1"/>
    <col min="15128" max="15128" width="8.85546875" customWidth="1"/>
    <col min="15129" max="15129" width="6.42578125" customWidth="1"/>
    <col min="15130" max="15130" width="9.85546875" customWidth="1"/>
    <col min="15131" max="15131" width="10.140625" customWidth="1"/>
    <col min="15132" max="15132" width="10.5703125" customWidth="1"/>
    <col min="15344" max="15344" width="3.140625" customWidth="1"/>
    <col min="15345" max="15345" width="15.7109375" customWidth="1"/>
    <col min="15346" max="15346" width="6.42578125" customWidth="1"/>
    <col min="15347" max="15347" width="4.7109375" customWidth="1"/>
    <col min="15348" max="15348" width="6.42578125" customWidth="1"/>
    <col min="15349" max="15349" width="7.28515625" customWidth="1"/>
    <col min="15350" max="15350" width="5.85546875" customWidth="1"/>
    <col min="15351" max="15351" width="5.7109375" customWidth="1"/>
    <col min="15352" max="15352" width="5.140625" customWidth="1"/>
    <col min="15353" max="15353" width="5.28515625" customWidth="1"/>
    <col min="15354" max="15354" width="7.140625" customWidth="1"/>
    <col min="15355" max="15355" width="7.85546875" customWidth="1"/>
    <col min="15356" max="15356" width="5.28515625" customWidth="1"/>
    <col min="15357" max="15357" width="9.5703125" customWidth="1"/>
    <col min="15358" max="15358" width="8.85546875" customWidth="1"/>
    <col min="15359" max="15359" width="7" customWidth="1"/>
    <col min="15360" max="15360" width="7.140625" customWidth="1"/>
    <col min="15361" max="15361" width="9.28515625" customWidth="1"/>
    <col min="15362" max="15362" width="8.85546875" customWidth="1"/>
    <col min="15363" max="15363" width="8" customWidth="1"/>
    <col min="15364" max="15364" width="9.28515625" customWidth="1"/>
    <col min="15365" max="15366" width="10.85546875" customWidth="1"/>
    <col min="15367" max="15367" width="10.7109375" customWidth="1"/>
    <col min="15368" max="15368" width="8.7109375" customWidth="1"/>
    <col min="15369" max="15369" width="8" customWidth="1"/>
    <col min="15370" max="15370" width="8.140625" customWidth="1"/>
    <col min="15371" max="15372" width="7.85546875" customWidth="1"/>
    <col min="15373" max="15373" width="11" customWidth="1"/>
    <col min="15374" max="15374" width="6.7109375" customWidth="1"/>
    <col min="15375" max="15375" width="10.5703125" bestFit="1" customWidth="1"/>
    <col min="15376" max="15376" width="10.5703125" customWidth="1"/>
    <col min="15377" max="15377" width="8.140625" customWidth="1"/>
    <col min="15378" max="15378" width="6.7109375" customWidth="1"/>
    <col min="15379" max="15379" width="10.42578125" customWidth="1"/>
    <col min="15380" max="15380" width="10" customWidth="1"/>
    <col min="15381" max="15381" width="8.42578125" customWidth="1"/>
    <col min="15382" max="15382" width="8.5703125" customWidth="1"/>
    <col min="15383" max="15383" width="6.85546875" customWidth="1"/>
    <col min="15384" max="15384" width="8.85546875" customWidth="1"/>
    <col min="15385" max="15385" width="6.42578125" customWidth="1"/>
    <col min="15386" max="15386" width="9.85546875" customWidth="1"/>
    <col min="15387" max="15387" width="10.140625" customWidth="1"/>
    <col min="15388" max="15388" width="10.5703125" customWidth="1"/>
    <col min="15600" max="15600" width="3.140625" customWidth="1"/>
    <col min="15601" max="15601" width="15.7109375" customWidth="1"/>
    <col min="15602" max="15602" width="6.42578125" customWidth="1"/>
    <col min="15603" max="15603" width="4.7109375" customWidth="1"/>
    <col min="15604" max="15604" width="6.42578125" customWidth="1"/>
    <col min="15605" max="15605" width="7.28515625" customWidth="1"/>
    <col min="15606" max="15606" width="5.85546875" customWidth="1"/>
    <col min="15607" max="15607" width="5.7109375" customWidth="1"/>
    <col min="15608" max="15608" width="5.140625" customWidth="1"/>
    <col min="15609" max="15609" width="5.28515625" customWidth="1"/>
    <col min="15610" max="15610" width="7.140625" customWidth="1"/>
    <col min="15611" max="15611" width="7.85546875" customWidth="1"/>
    <col min="15612" max="15612" width="5.28515625" customWidth="1"/>
    <col min="15613" max="15613" width="9.5703125" customWidth="1"/>
    <col min="15614" max="15614" width="8.85546875" customWidth="1"/>
    <col min="15615" max="15615" width="7" customWidth="1"/>
    <col min="15616" max="15616" width="7.140625" customWidth="1"/>
    <col min="15617" max="15617" width="9.28515625" customWidth="1"/>
    <col min="15618" max="15618" width="8.85546875" customWidth="1"/>
    <col min="15619" max="15619" width="8" customWidth="1"/>
    <col min="15620" max="15620" width="9.28515625" customWidth="1"/>
    <col min="15621" max="15622" width="10.85546875" customWidth="1"/>
    <col min="15623" max="15623" width="10.7109375" customWidth="1"/>
    <col min="15624" max="15624" width="8.7109375" customWidth="1"/>
    <col min="15625" max="15625" width="8" customWidth="1"/>
    <col min="15626" max="15626" width="8.140625" customWidth="1"/>
    <col min="15627" max="15628" width="7.85546875" customWidth="1"/>
    <col min="15629" max="15629" width="11" customWidth="1"/>
    <col min="15630" max="15630" width="6.7109375" customWidth="1"/>
    <col min="15631" max="15631" width="10.5703125" bestFit="1" customWidth="1"/>
    <col min="15632" max="15632" width="10.5703125" customWidth="1"/>
    <col min="15633" max="15633" width="8.140625" customWidth="1"/>
    <col min="15634" max="15634" width="6.7109375" customWidth="1"/>
    <col min="15635" max="15635" width="10.42578125" customWidth="1"/>
    <col min="15636" max="15636" width="10" customWidth="1"/>
    <col min="15637" max="15637" width="8.42578125" customWidth="1"/>
    <col min="15638" max="15638" width="8.5703125" customWidth="1"/>
    <col min="15639" max="15639" width="6.85546875" customWidth="1"/>
    <col min="15640" max="15640" width="8.85546875" customWidth="1"/>
    <col min="15641" max="15641" width="6.42578125" customWidth="1"/>
    <col min="15642" max="15642" width="9.85546875" customWidth="1"/>
    <col min="15643" max="15643" width="10.140625" customWidth="1"/>
    <col min="15644" max="15644" width="10.5703125" customWidth="1"/>
    <col min="15856" max="15856" width="3.140625" customWidth="1"/>
    <col min="15857" max="15857" width="15.7109375" customWidth="1"/>
    <col min="15858" max="15858" width="6.42578125" customWidth="1"/>
    <col min="15859" max="15859" width="4.7109375" customWidth="1"/>
    <col min="15860" max="15860" width="6.42578125" customWidth="1"/>
    <col min="15861" max="15861" width="7.28515625" customWidth="1"/>
    <col min="15862" max="15862" width="5.85546875" customWidth="1"/>
    <col min="15863" max="15863" width="5.7109375" customWidth="1"/>
    <col min="15864" max="15864" width="5.140625" customWidth="1"/>
    <col min="15865" max="15865" width="5.28515625" customWidth="1"/>
    <col min="15866" max="15866" width="7.140625" customWidth="1"/>
    <col min="15867" max="15867" width="7.85546875" customWidth="1"/>
    <col min="15868" max="15868" width="5.28515625" customWidth="1"/>
    <col min="15869" max="15869" width="9.5703125" customWidth="1"/>
    <col min="15870" max="15870" width="8.85546875" customWidth="1"/>
    <col min="15871" max="15871" width="7" customWidth="1"/>
    <col min="15872" max="15872" width="7.140625" customWidth="1"/>
    <col min="15873" max="15873" width="9.28515625" customWidth="1"/>
    <col min="15874" max="15874" width="8.85546875" customWidth="1"/>
    <col min="15875" max="15875" width="8" customWidth="1"/>
    <col min="15876" max="15876" width="9.28515625" customWidth="1"/>
    <col min="15877" max="15878" width="10.85546875" customWidth="1"/>
    <col min="15879" max="15879" width="10.7109375" customWidth="1"/>
    <col min="15880" max="15880" width="8.7109375" customWidth="1"/>
    <col min="15881" max="15881" width="8" customWidth="1"/>
    <col min="15882" max="15882" width="8.140625" customWidth="1"/>
    <col min="15883" max="15884" width="7.85546875" customWidth="1"/>
    <col min="15885" max="15885" width="11" customWidth="1"/>
    <col min="15886" max="15886" width="6.7109375" customWidth="1"/>
    <col min="15887" max="15887" width="10.5703125" bestFit="1" customWidth="1"/>
    <col min="15888" max="15888" width="10.5703125" customWidth="1"/>
    <col min="15889" max="15889" width="8.140625" customWidth="1"/>
    <col min="15890" max="15890" width="6.7109375" customWidth="1"/>
    <col min="15891" max="15891" width="10.42578125" customWidth="1"/>
    <col min="15892" max="15892" width="10" customWidth="1"/>
    <col min="15893" max="15893" width="8.42578125" customWidth="1"/>
    <col min="15894" max="15894" width="8.5703125" customWidth="1"/>
    <col min="15895" max="15895" width="6.85546875" customWidth="1"/>
    <col min="15896" max="15896" width="8.85546875" customWidth="1"/>
    <col min="15897" max="15897" width="6.42578125" customWidth="1"/>
    <col min="15898" max="15898" width="9.85546875" customWidth="1"/>
    <col min="15899" max="15899" width="10.140625" customWidth="1"/>
    <col min="15900" max="15900" width="10.5703125" customWidth="1"/>
    <col min="16112" max="16112" width="3.140625" customWidth="1"/>
    <col min="16113" max="16113" width="15.7109375" customWidth="1"/>
    <col min="16114" max="16114" width="6.42578125" customWidth="1"/>
    <col min="16115" max="16115" width="4.7109375" customWidth="1"/>
    <col min="16116" max="16116" width="6.42578125" customWidth="1"/>
    <col min="16117" max="16117" width="7.28515625" customWidth="1"/>
    <col min="16118" max="16118" width="5.85546875" customWidth="1"/>
    <col min="16119" max="16119" width="5.7109375" customWidth="1"/>
    <col min="16120" max="16120" width="5.140625" customWidth="1"/>
    <col min="16121" max="16121" width="5.28515625" customWidth="1"/>
    <col min="16122" max="16122" width="7.140625" customWidth="1"/>
    <col min="16123" max="16123" width="7.85546875" customWidth="1"/>
    <col min="16124" max="16124" width="5.28515625" customWidth="1"/>
    <col min="16125" max="16125" width="9.5703125" customWidth="1"/>
    <col min="16126" max="16126" width="8.85546875" customWidth="1"/>
    <col min="16127" max="16127" width="7" customWidth="1"/>
    <col min="16128" max="16128" width="7.140625" customWidth="1"/>
    <col min="16129" max="16129" width="9.28515625" customWidth="1"/>
    <col min="16130" max="16130" width="8.85546875" customWidth="1"/>
    <col min="16131" max="16131" width="8" customWidth="1"/>
    <col min="16132" max="16132" width="9.28515625" customWidth="1"/>
    <col min="16133" max="16134" width="10.85546875" customWidth="1"/>
    <col min="16135" max="16135" width="10.7109375" customWidth="1"/>
    <col min="16136" max="16136" width="8.7109375" customWidth="1"/>
    <col min="16137" max="16137" width="8" customWidth="1"/>
    <col min="16138" max="16138" width="8.140625" customWidth="1"/>
    <col min="16139" max="16140" width="7.85546875" customWidth="1"/>
    <col min="16141" max="16141" width="11" customWidth="1"/>
    <col min="16142" max="16142" width="6.7109375" customWidth="1"/>
    <col min="16143" max="16143" width="10.5703125" bestFit="1" customWidth="1"/>
    <col min="16144" max="16144" width="10.5703125" customWidth="1"/>
    <col min="16145" max="16145" width="8.140625" customWidth="1"/>
    <col min="16146" max="16146" width="6.7109375" customWidth="1"/>
    <col min="16147" max="16147" width="10.42578125" customWidth="1"/>
    <col min="16148" max="16148" width="10" customWidth="1"/>
    <col min="16149" max="16149" width="8.42578125" customWidth="1"/>
    <col min="16150" max="16150" width="8.5703125" customWidth="1"/>
    <col min="16151" max="16151" width="6.85546875" customWidth="1"/>
    <col min="16152" max="16152" width="8.85546875" customWidth="1"/>
    <col min="16153" max="16153" width="6.42578125" customWidth="1"/>
    <col min="16154" max="16154" width="9.85546875" customWidth="1"/>
    <col min="16155" max="16155" width="10.140625" customWidth="1"/>
    <col min="16156" max="16156" width="10.5703125" customWidth="1"/>
  </cols>
  <sheetData>
    <row r="1" spans="1:31" ht="15" customHeight="1" x14ac:dyDescent="0.25">
      <c r="A1" s="691" t="s">
        <v>251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553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</row>
    <row r="2" spans="1:31" ht="15.75" customHeight="1" thickBot="1" x14ac:dyDescent="0.3">
      <c r="A2" s="886"/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</row>
    <row r="3" spans="1:31" ht="37.5" customHeight="1" thickBot="1" x14ac:dyDescent="0.3">
      <c r="A3" s="751" t="s">
        <v>0</v>
      </c>
      <c r="B3" s="760" t="s">
        <v>154</v>
      </c>
      <c r="C3" s="888" t="s">
        <v>32</v>
      </c>
      <c r="D3" s="890" t="s">
        <v>157</v>
      </c>
      <c r="E3" s="875" t="s">
        <v>174</v>
      </c>
      <c r="F3" s="877" t="s">
        <v>175</v>
      </c>
      <c r="G3" s="879" t="s">
        <v>176</v>
      </c>
      <c r="H3" s="785" t="s">
        <v>220</v>
      </c>
      <c r="I3" s="882" t="s">
        <v>221</v>
      </c>
      <c r="J3" s="884" t="s">
        <v>177</v>
      </c>
      <c r="K3" s="822" t="s">
        <v>178</v>
      </c>
      <c r="L3" s="869" t="s">
        <v>179</v>
      </c>
      <c r="M3" s="742" t="s">
        <v>158</v>
      </c>
      <c r="N3" s="742"/>
      <c r="O3" s="871" t="s">
        <v>180</v>
      </c>
      <c r="P3" s="802" t="s">
        <v>181</v>
      </c>
      <c r="Q3" s="874" t="s">
        <v>182</v>
      </c>
      <c r="R3" s="811" t="s">
        <v>183</v>
      </c>
      <c r="S3" s="860" t="s">
        <v>184</v>
      </c>
      <c r="T3" s="863" t="s">
        <v>185</v>
      </c>
      <c r="U3" s="739" t="s">
        <v>186</v>
      </c>
      <c r="V3" s="740"/>
      <c r="W3" s="740"/>
      <c r="X3" s="740"/>
      <c r="Y3" s="740"/>
      <c r="Z3" s="740"/>
      <c r="AA3" s="865" t="s">
        <v>187</v>
      </c>
      <c r="AB3" s="743" t="s">
        <v>188</v>
      </c>
      <c r="AC3" s="860" t="s">
        <v>189</v>
      </c>
      <c r="AD3" s="679" t="s">
        <v>190</v>
      </c>
      <c r="AE3" s="860" t="s">
        <v>191</v>
      </c>
    </row>
    <row r="4" spans="1:31" ht="93" customHeight="1" thickBot="1" x14ac:dyDescent="0.3">
      <c r="A4" s="759"/>
      <c r="B4" s="761"/>
      <c r="C4" s="889"/>
      <c r="D4" s="891"/>
      <c r="E4" s="876"/>
      <c r="F4" s="878"/>
      <c r="G4" s="880"/>
      <c r="H4" s="881"/>
      <c r="I4" s="883"/>
      <c r="J4" s="885"/>
      <c r="K4" s="868"/>
      <c r="L4" s="870"/>
      <c r="M4" s="504" t="s">
        <v>192</v>
      </c>
      <c r="N4" s="505" t="s">
        <v>193</v>
      </c>
      <c r="O4" s="872"/>
      <c r="P4" s="873"/>
      <c r="Q4" s="867"/>
      <c r="R4" s="862"/>
      <c r="S4" s="861"/>
      <c r="T4" s="864"/>
      <c r="U4" s="640" t="s">
        <v>194</v>
      </c>
      <c r="V4" s="641" t="s">
        <v>195</v>
      </c>
      <c r="W4" s="641" t="s">
        <v>196</v>
      </c>
      <c r="X4" s="642" t="s">
        <v>197</v>
      </c>
      <c r="Y4" s="643" t="s">
        <v>198</v>
      </c>
      <c r="Z4" s="643" t="s">
        <v>199</v>
      </c>
      <c r="AA4" s="866"/>
      <c r="AB4" s="867"/>
      <c r="AC4" s="861"/>
      <c r="AD4" s="651" t="s">
        <v>200</v>
      </c>
      <c r="AE4" s="861"/>
    </row>
    <row r="5" spans="1:31" ht="20.25" customHeight="1" thickBot="1" x14ac:dyDescent="0.3">
      <c r="A5" s="895" t="s">
        <v>222</v>
      </c>
      <c r="B5" s="896"/>
      <c r="C5" s="667"/>
      <c r="D5" s="668"/>
      <c r="E5" s="669"/>
      <c r="F5" s="670"/>
      <c r="G5" s="669"/>
      <c r="H5" s="671"/>
      <c r="I5" s="672"/>
      <c r="J5" s="673"/>
      <c r="K5" s="638">
        <v>20000</v>
      </c>
      <c r="L5" s="639">
        <v>3998</v>
      </c>
      <c r="M5" s="489"/>
      <c r="N5" s="674"/>
      <c r="O5" s="675">
        <v>1870</v>
      </c>
      <c r="P5" s="676">
        <v>2095</v>
      </c>
      <c r="Q5" s="677">
        <v>1169</v>
      </c>
      <c r="R5" s="678">
        <v>1.7000000000000001E-2</v>
      </c>
      <c r="S5" s="663"/>
      <c r="T5" s="664"/>
      <c r="U5" s="645">
        <v>0.88144573000000004</v>
      </c>
      <c r="V5" s="646">
        <f>V34/T34</f>
        <v>9.9549405413799849E-3</v>
      </c>
      <c r="W5" s="646">
        <f>W34/T34</f>
        <v>5.8070486514611441E-2</v>
      </c>
      <c r="X5" s="646">
        <f>X34/T34</f>
        <v>2.2926529740833607E-2</v>
      </c>
      <c r="Y5" s="647">
        <f>Y34/T34</f>
        <v>1.3273254060482615E-2</v>
      </c>
      <c r="Z5" s="648">
        <f>Z34/T34</f>
        <v>1.4329081088021004E-2</v>
      </c>
      <c r="AA5" s="644">
        <f>SUM(U5:Z5)</f>
        <v>1.0000000219453289</v>
      </c>
      <c r="AB5" s="220"/>
      <c r="AC5" s="560"/>
      <c r="AD5" s="337">
        <v>72</v>
      </c>
      <c r="AE5" s="560"/>
    </row>
    <row r="6" spans="1:31" ht="13.5" customHeight="1" x14ac:dyDescent="0.25">
      <c r="A6" s="508">
        <v>1</v>
      </c>
      <c r="B6" s="509" t="s">
        <v>201</v>
      </c>
      <c r="C6" s="520">
        <v>1</v>
      </c>
      <c r="D6" s="520">
        <v>6</v>
      </c>
      <c r="E6" s="111">
        <v>51</v>
      </c>
      <c r="F6" s="111">
        <v>0.5</v>
      </c>
      <c r="G6" s="665">
        <v>1</v>
      </c>
      <c r="H6" s="562">
        <f t="shared" ref="H6:H18" si="0">I6+J6</f>
        <v>137</v>
      </c>
      <c r="I6" s="111">
        <f t="shared" ref="I6:I33" si="1">SUM(M6:N6)</f>
        <v>116</v>
      </c>
      <c r="J6" s="545">
        <v>21</v>
      </c>
      <c r="K6" s="2">
        <f>C6*$K$5</f>
        <v>20000</v>
      </c>
      <c r="L6" s="690">
        <f>D6*$L$5</f>
        <v>23988</v>
      </c>
      <c r="M6" s="686">
        <v>65</v>
      </c>
      <c r="N6" s="654">
        <v>51</v>
      </c>
      <c r="O6" s="666">
        <f>M6*$O$5</f>
        <v>121550</v>
      </c>
      <c r="P6" s="515">
        <f t="shared" ref="P6:P33" si="2">(N6)*$P$5</f>
        <v>106845</v>
      </c>
      <c r="Q6" s="570">
        <f>J6*$Q$5</f>
        <v>24549</v>
      </c>
      <c r="R6" s="566">
        <f t="shared" ref="R6:R33" si="3">(SUM(O6:Q6)+K6+L6)*$R$5</f>
        <v>5047.8440000000001</v>
      </c>
      <c r="S6" s="567">
        <f>SUM(O6:R6)+K6+L6</f>
        <v>301979.84400000004</v>
      </c>
      <c r="T6" s="567">
        <f>SUM(O6:P6)+R6+K6+L6-Q6*0.017-$L$5*0.017-$L$5</f>
        <v>272947.54500000004</v>
      </c>
      <c r="U6" s="107">
        <f t="shared" ref="U6:U33" si="4">T6*$U$5</f>
        <v>240588.4480542329</v>
      </c>
      <c r="V6" s="49">
        <f>I6*23.8095238</f>
        <v>2761.9047608000001</v>
      </c>
      <c r="W6" s="364">
        <v>40000</v>
      </c>
      <c r="X6" s="364">
        <v>8000</v>
      </c>
      <c r="Y6" s="364"/>
      <c r="Z6" s="364"/>
      <c r="AA6" s="210">
        <f>SUM(U6:Z6)</f>
        <v>291350.35281503294</v>
      </c>
      <c r="AB6" s="566">
        <v>2761.9047608000001</v>
      </c>
      <c r="AC6" s="568">
        <f>AA6+Q6+Q6*0.017+$L$5+$L$5*0.017</f>
        <v>320382.65181503294</v>
      </c>
      <c r="AD6" s="488">
        <f t="shared" ref="AD6:AD33" si="5">(N6)*$AD$5</f>
        <v>3672</v>
      </c>
      <c r="AE6" s="568">
        <f>AC6+AD6</f>
        <v>324054.65181503294</v>
      </c>
    </row>
    <row r="7" spans="1:31" ht="13.5" customHeight="1" x14ac:dyDescent="0.25">
      <c r="A7" s="508">
        <v>2</v>
      </c>
      <c r="B7" s="518" t="s">
        <v>202</v>
      </c>
      <c r="C7" s="513">
        <v>1</v>
      </c>
      <c r="D7" s="513">
        <v>14</v>
      </c>
      <c r="E7" s="111">
        <v>146</v>
      </c>
      <c r="F7" s="111">
        <v>1.5</v>
      </c>
      <c r="G7" s="561">
        <v>8</v>
      </c>
      <c r="H7" s="562">
        <f t="shared" si="0"/>
        <v>322</v>
      </c>
      <c r="I7" s="111">
        <f t="shared" si="1"/>
        <v>278</v>
      </c>
      <c r="J7" s="545">
        <v>44</v>
      </c>
      <c r="K7" s="2">
        <f t="shared" ref="K7:K33" si="6">C7*$K$5</f>
        <v>20000</v>
      </c>
      <c r="L7" s="690">
        <f t="shared" ref="L7:L33" si="7">D7*$L$5</f>
        <v>55972</v>
      </c>
      <c r="M7" s="686">
        <v>132</v>
      </c>
      <c r="N7" s="654">
        <v>146</v>
      </c>
      <c r="O7" s="658">
        <f t="shared" ref="O7:O33" si="8">M7*$O$5</f>
        <v>246840</v>
      </c>
      <c r="P7" s="564">
        <f t="shared" si="2"/>
        <v>305870</v>
      </c>
      <c r="Q7" s="565">
        <f>J7*$Q$5</f>
        <v>51436</v>
      </c>
      <c r="R7" s="566">
        <f t="shared" si="3"/>
        <v>11562.006000000001</v>
      </c>
      <c r="S7" s="567">
        <f t="shared" ref="S7:S33" si="9">SUM(O7:R7)+K7+L7</f>
        <v>691680.00600000005</v>
      </c>
      <c r="T7" s="567">
        <f>SUM(O7:P7)+R7+K7+L7-Q7*0.017-$L$5*2*0.017-$L$5*2</f>
        <v>631237.66200000001</v>
      </c>
      <c r="U7" s="107">
        <f t="shared" si="4"/>
        <v>556401.74178508332</v>
      </c>
      <c r="V7" s="49">
        <f t="shared" ref="V7:V33" si="10">I7*23.8095238</f>
        <v>6619.0476164000002</v>
      </c>
      <c r="W7" s="364">
        <v>30000</v>
      </c>
      <c r="X7" s="364">
        <f>8000*3</f>
        <v>24000</v>
      </c>
      <c r="Y7" s="364">
        <v>22000</v>
      </c>
      <c r="Z7" s="364">
        <v>20000</v>
      </c>
      <c r="AA7" s="210">
        <f t="shared" ref="AA7:AA33" si="11">SUM(U7:Z7)</f>
        <v>659020.78940148337</v>
      </c>
      <c r="AB7" s="566">
        <v>6619.0476164000002</v>
      </c>
      <c r="AC7" s="568">
        <f>AA7+Q7+Q7*0.017+$L$5*2+$L$5*2*0.017</f>
        <v>719463.13340148341</v>
      </c>
      <c r="AD7" s="488">
        <f t="shared" si="5"/>
        <v>10512</v>
      </c>
      <c r="AE7" s="568">
        <f t="shared" ref="AE7:AE33" si="12">AC7+AD7</f>
        <v>729975.13340148341</v>
      </c>
    </row>
    <row r="8" spans="1:31" ht="13.5" customHeight="1" x14ac:dyDescent="0.25">
      <c r="A8" s="508">
        <v>3</v>
      </c>
      <c r="B8" s="518" t="s">
        <v>203</v>
      </c>
      <c r="C8" s="513">
        <v>1</v>
      </c>
      <c r="D8" s="513">
        <v>5</v>
      </c>
      <c r="E8" s="111">
        <v>46</v>
      </c>
      <c r="F8" s="511">
        <v>0.5</v>
      </c>
      <c r="G8" s="561"/>
      <c r="H8" s="562">
        <f t="shared" si="0"/>
        <v>102</v>
      </c>
      <c r="I8" s="111">
        <f t="shared" si="1"/>
        <v>88</v>
      </c>
      <c r="J8" s="545">
        <v>14</v>
      </c>
      <c r="K8" s="2">
        <f t="shared" si="6"/>
        <v>20000</v>
      </c>
      <c r="L8" s="690">
        <f t="shared" si="7"/>
        <v>19990</v>
      </c>
      <c r="M8" s="686">
        <v>42</v>
      </c>
      <c r="N8" s="654">
        <v>46</v>
      </c>
      <c r="O8" s="658">
        <f t="shared" si="8"/>
        <v>78540</v>
      </c>
      <c r="P8" s="564">
        <f t="shared" si="2"/>
        <v>96370</v>
      </c>
      <c r="Q8" s="565">
        <f>J8*$Q$5</f>
        <v>16366</v>
      </c>
      <c r="R8" s="566">
        <f t="shared" si="3"/>
        <v>3931.5220000000004</v>
      </c>
      <c r="S8" s="567">
        <f t="shared" si="9"/>
        <v>235197.522</v>
      </c>
      <c r="T8" s="567">
        <f>SUM(O8:P8)+R8+K8+L8-Q8*0.017-$L$5*0.017-$L$5</f>
        <v>214487.334</v>
      </c>
      <c r="U8" s="107">
        <f t="shared" si="4"/>
        <v>189058.94469338382</v>
      </c>
      <c r="V8" s="49">
        <f t="shared" si="10"/>
        <v>2095.2380944000001</v>
      </c>
      <c r="W8" s="364">
        <v>40000</v>
      </c>
      <c r="X8" s="364">
        <v>8000</v>
      </c>
      <c r="Y8" s="364"/>
      <c r="Z8" s="364"/>
      <c r="AA8" s="210">
        <f t="shared" si="11"/>
        <v>239154.18278778382</v>
      </c>
      <c r="AB8" s="566">
        <v>2095.2380944000001</v>
      </c>
      <c r="AC8" s="568">
        <f>AA8+Q8+Q8*0.017+$L$5+$L$5*0.017</f>
        <v>259864.37078778382</v>
      </c>
      <c r="AD8" s="488">
        <f t="shared" si="5"/>
        <v>3312</v>
      </c>
      <c r="AE8" s="568">
        <f t="shared" si="12"/>
        <v>263176.37078778382</v>
      </c>
    </row>
    <row r="9" spans="1:31" ht="13.5" customHeight="1" x14ac:dyDescent="0.25">
      <c r="A9" s="508">
        <v>4</v>
      </c>
      <c r="B9" s="518" t="s">
        <v>204</v>
      </c>
      <c r="C9" s="513">
        <v>1</v>
      </c>
      <c r="D9" s="513">
        <v>5</v>
      </c>
      <c r="E9" s="111">
        <v>44</v>
      </c>
      <c r="F9" s="511">
        <v>0.5</v>
      </c>
      <c r="G9" s="561"/>
      <c r="H9" s="562">
        <f t="shared" si="0"/>
        <v>125</v>
      </c>
      <c r="I9" s="111">
        <f t="shared" si="1"/>
        <v>100</v>
      </c>
      <c r="J9" s="569">
        <v>25</v>
      </c>
      <c r="K9" s="2">
        <f t="shared" si="6"/>
        <v>20000</v>
      </c>
      <c r="L9" s="690">
        <f t="shared" si="7"/>
        <v>19990</v>
      </c>
      <c r="M9" s="686">
        <v>56</v>
      </c>
      <c r="N9" s="654">
        <v>44</v>
      </c>
      <c r="O9" s="658">
        <f t="shared" si="8"/>
        <v>104720</v>
      </c>
      <c r="P9" s="564">
        <f t="shared" si="2"/>
        <v>92180</v>
      </c>
      <c r="Q9" s="565">
        <f>J9*$Q$5</f>
        <v>29225</v>
      </c>
      <c r="R9" s="566">
        <f t="shared" si="3"/>
        <v>4523.9549999999999</v>
      </c>
      <c r="S9" s="567">
        <f t="shared" si="9"/>
        <v>270638.95499999996</v>
      </c>
      <c r="T9" s="567">
        <f>SUM(O9:P9)+R9+K9+L9-Q9*0.017-$L$5*0.017-$L$5</f>
        <v>236851.16399999999</v>
      </c>
      <c r="U9" s="107">
        <f t="shared" si="4"/>
        <v>208771.44715332973</v>
      </c>
      <c r="V9" s="49">
        <f t="shared" si="10"/>
        <v>2380.9523800000002</v>
      </c>
      <c r="W9" s="364"/>
      <c r="X9" s="364">
        <v>8000</v>
      </c>
      <c r="Y9" s="364"/>
      <c r="Z9" s="364"/>
      <c r="AA9" s="210">
        <f t="shared" si="11"/>
        <v>219152.39953332974</v>
      </c>
      <c r="AB9" s="566">
        <v>2380.9523800000002</v>
      </c>
      <c r="AC9" s="568">
        <f>AA9+Q9+Q9*0.017+$L$5+$L$5*0.017</f>
        <v>252940.19053332973</v>
      </c>
      <c r="AD9" s="488">
        <f t="shared" si="5"/>
        <v>3168</v>
      </c>
      <c r="AE9" s="568">
        <f t="shared" si="12"/>
        <v>256108.19053332973</v>
      </c>
    </row>
    <row r="10" spans="1:31" ht="13.5" customHeight="1" x14ac:dyDescent="0.25">
      <c r="A10" s="508">
        <v>5</v>
      </c>
      <c r="B10" s="509" t="s">
        <v>223</v>
      </c>
      <c r="C10" s="513">
        <v>1</v>
      </c>
      <c r="D10" s="513">
        <v>5</v>
      </c>
      <c r="E10" s="111">
        <v>39</v>
      </c>
      <c r="F10" s="111">
        <v>0.5</v>
      </c>
      <c r="G10" s="561"/>
      <c r="H10" s="562">
        <f t="shared" si="0"/>
        <v>113</v>
      </c>
      <c r="I10" s="111">
        <f t="shared" si="1"/>
        <v>113</v>
      </c>
      <c r="J10" s="545"/>
      <c r="K10" s="2">
        <f t="shared" si="6"/>
        <v>20000</v>
      </c>
      <c r="L10" s="690">
        <f t="shared" si="7"/>
        <v>19990</v>
      </c>
      <c r="M10" s="686">
        <v>74</v>
      </c>
      <c r="N10" s="654">
        <v>39</v>
      </c>
      <c r="O10" s="658">
        <f t="shared" si="8"/>
        <v>138380</v>
      </c>
      <c r="P10" s="564">
        <f t="shared" si="2"/>
        <v>81705</v>
      </c>
      <c r="Q10" s="570"/>
      <c r="R10" s="566">
        <f t="shared" si="3"/>
        <v>4421.2750000000005</v>
      </c>
      <c r="S10" s="567">
        <f t="shared" si="9"/>
        <v>264496.27500000002</v>
      </c>
      <c r="T10" s="567">
        <f>SUM(O10:P10)+R10+K10+L10-Q10*0.017</f>
        <v>264496.27500000002</v>
      </c>
      <c r="U10" s="107">
        <f t="shared" si="4"/>
        <v>233139.11219965579</v>
      </c>
      <c r="V10" s="49">
        <f t="shared" si="10"/>
        <v>2690.4761894000003</v>
      </c>
      <c r="W10" s="364">
        <v>40000</v>
      </c>
      <c r="X10" s="364">
        <v>8000</v>
      </c>
      <c r="Y10" s="364"/>
      <c r="Z10" s="364">
        <v>5000</v>
      </c>
      <c r="AA10" s="210">
        <f t="shared" si="11"/>
        <v>288829.5883890558</v>
      </c>
      <c r="AB10" s="566">
        <v>2690.4761894000003</v>
      </c>
      <c r="AC10" s="568">
        <f t="shared" ref="AC10:AC33" si="13">AA10+Q10</f>
        <v>288829.5883890558</v>
      </c>
      <c r="AD10" s="488">
        <f t="shared" si="5"/>
        <v>2808</v>
      </c>
      <c r="AE10" s="568">
        <f t="shared" si="12"/>
        <v>291637.5883890558</v>
      </c>
    </row>
    <row r="11" spans="1:31" ht="13.5" customHeight="1" x14ac:dyDescent="0.25">
      <c r="A11" s="508">
        <v>6</v>
      </c>
      <c r="B11" s="518" t="s">
        <v>224</v>
      </c>
      <c r="C11" s="513">
        <v>1</v>
      </c>
      <c r="D11" s="513">
        <v>8</v>
      </c>
      <c r="E11" s="111">
        <v>89</v>
      </c>
      <c r="F11" s="111">
        <v>0.5</v>
      </c>
      <c r="G11" s="561"/>
      <c r="H11" s="562">
        <f t="shared" si="0"/>
        <v>183</v>
      </c>
      <c r="I11" s="111">
        <f t="shared" si="1"/>
        <v>183</v>
      </c>
      <c r="J11" s="545"/>
      <c r="K11" s="2">
        <f t="shared" si="6"/>
        <v>20000</v>
      </c>
      <c r="L11" s="690">
        <f t="shared" si="7"/>
        <v>31984</v>
      </c>
      <c r="M11" s="686">
        <v>94</v>
      </c>
      <c r="N11" s="654">
        <v>89</v>
      </c>
      <c r="O11" s="658">
        <f t="shared" si="8"/>
        <v>175780</v>
      </c>
      <c r="P11" s="564">
        <f t="shared" si="2"/>
        <v>186455</v>
      </c>
      <c r="Q11" s="570"/>
      <c r="R11" s="566">
        <f t="shared" si="3"/>
        <v>7041.7230000000009</v>
      </c>
      <c r="S11" s="567">
        <f t="shared" si="9"/>
        <v>421260.723</v>
      </c>
      <c r="T11" s="567">
        <f t="shared" ref="T11:T33" si="14">SUM(O11:P11)+R11+K11+L11-Q11*0.017</f>
        <v>421260.723</v>
      </c>
      <c r="U11" s="107">
        <f t="shared" si="4"/>
        <v>371318.46550506278</v>
      </c>
      <c r="V11" s="49">
        <f t="shared" si="10"/>
        <v>4357.1428554000004</v>
      </c>
      <c r="W11" s="364"/>
      <c r="X11" s="364">
        <v>8000</v>
      </c>
      <c r="Y11" s="364">
        <v>22000</v>
      </c>
      <c r="Z11" s="364">
        <v>10000</v>
      </c>
      <c r="AA11" s="210">
        <f t="shared" si="11"/>
        <v>415675.60836046276</v>
      </c>
      <c r="AB11" s="566">
        <v>4357.1428554000004</v>
      </c>
      <c r="AC11" s="568">
        <f t="shared" si="13"/>
        <v>415675.60836046276</v>
      </c>
      <c r="AD11" s="488">
        <f t="shared" si="5"/>
        <v>6408</v>
      </c>
      <c r="AE11" s="568">
        <f t="shared" si="12"/>
        <v>422083.60836046276</v>
      </c>
    </row>
    <row r="12" spans="1:31" ht="13.5" customHeight="1" x14ac:dyDescent="0.25">
      <c r="A12" s="508">
        <v>7</v>
      </c>
      <c r="B12" s="518" t="s">
        <v>225</v>
      </c>
      <c r="C12" s="513">
        <v>1</v>
      </c>
      <c r="D12" s="513">
        <v>5</v>
      </c>
      <c r="E12" s="111">
        <v>49</v>
      </c>
      <c r="F12" s="511">
        <v>0.5</v>
      </c>
      <c r="G12" s="561"/>
      <c r="H12" s="562">
        <f t="shared" si="0"/>
        <v>114</v>
      </c>
      <c r="I12" s="111">
        <f t="shared" si="1"/>
        <v>114</v>
      </c>
      <c r="J12" s="545"/>
      <c r="K12" s="2">
        <f t="shared" si="6"/>
        <v>20000</v>
      </c>
      <c r="L12" s="690">
        <f t="shared" si="7"/>
        <v>19990</v>
      </c>
      <c r="M12" s="686">
        <v>65</v>
      </c>
      <c r="N12" s="654">
        <v>49</v>
      </c>
      <c r="O12" s="658">
        <f t="shared" si="8"/>
        <v>121550</v>
      </c>
      <c r="P12" s="564">
        <f t="shared" si="2"/>
        <v>102655</v>
      </c>
      <c r="Q12" s="570"/>
      <c r="R12" s="566">
        <f t="shared" si="3"/>
        <v>4491.3150000000005</v>
      </c>
      <c r="S12" s="567">
        <f t="shared" si="9"/>
        <v>268686.315</v>
      </c>
      <c r="T12" s="567">
        <f t="shared" si="14"/>
        <v>268686.315</v>
      </c>
      <c r="U12" s="107">
        <f t="shared" si="4"/>
        <v>236832.40506618496</v>
      </c>
      <c r="V12" s="49">
        <f t="shared" si="10"/>
        <v>2714.2857131999999</v>
      </c>
      <c r="W12" s="364">
        <v>20000</v>
      </c>
      <c r="X12" s="364">
        <v>8000</v>
      </c>
      <c r="Y12" s="364"/>
      <c r="Z12" s="364"/>
      <c r="AA12" s="210">
        <f t="shared" si="11"/>
        <v>267546.69077938492</v>
      </c>
      <c r="AB12" s="566">
        <v>2714.2857131999999</v>
      </c>
      <c r="AC12" s="568">
        <f t="shared" si="13"/>
        <v>267546.69077938492</v>
      </c>
      <c r="AD12" s="488">
        <f t="shared" si="5"/>
        <v>3528</v>
      </c>
      <c r="AE12" s="568">
        <f t="shared" si="12"/>
        <v>271074.69077938492</v>
      </c>
    </row>
    <row r="13" spans="1:31" ht="13.5" customHeight="1" x14ac:dyDescent="0.25">
      <c r="A13" s="508">
        <v>8</v>
      </c>
      <c r="B13" s="518" t="s">
        <v>226</v>
      </c>
      <c r="C13" s="513">
        <v>1</v>
      </c>
      <c r="D13" s="513">
        <v>6</v>
      </c>
      <c r="E13" s="111">
        <v>67</v>
      </c>
      <c r="F13" s="511">
        <v>0.5</v>
      </c>
      <c r="G13" s="561">
        <v>2</v>
      </c>
      <c r="H13" s="562">
        <f t="shared" si="0"/>
        <v>137</v>
      </c>
      <c r="I13" s="111">
        <f t="shared" si="1"/>
        <v>137</v>
      </c>
      <c r="J13" s="545"/>
      <c r="K13" s="2">
        <f t="shared" si="6"/>
        <v>20000</v>
      </c>
      <c r="L13" s="690">
        <f t="shared" si="7"/>
        <v>23988</v>
      </c>
      <c r="M13" s="686">
        <v>70</v>
      </c>
      <c r="N13" s="654">
        <v>67</v>
      </c>
      <c r="O13" s="658">
        <f t="shared" si="8"/>
        <v>130900</v>
      </c>
      <c r="P13" s="564">
        <f t="shared" si="2"/>
        <v>140365</v>
      </c>
      <c r="Q13" s="570"/>
      <c r="R13" s="566">
        <f t="shared" si="3"/>
        <v>5359.3010000000004</v>
      </c>
      <c r="S13" s="567">
        <f t="shared" si="9"/>
        <v>320612.30099999998</v>
      </c>
      <c r="T13" s="567">
        <f t="shared" si="14"/>
        <v>320612.30099999998</v>
      </c>
      <c r="U13" s="107">
        <f t="shared" si="4"/>
        <v>282602.34370192472</v>
      </c>
      <c r="V13" s="49">
        <f t="shared" si="10"/>
        <v>3261.9047605999999</v>
      </c>
      <c r="W13" s="364"/>
      <c r="X13" s="364">
        <v>8000</v>
      </c>
      <c r="Y13" s="364">
        <v>22000</v>
      </c>
      <c r="Z13" s="364">
        <v>5000</v>
      </c>
      <c r="AA13" s="210">
        <f t="shared" si="11"/>
        <v>320864.24846252473</v>
      </c>
      <c r="AB13" s="566">
        <v>3261.9047605999999</v>
      </c>
      <c r="AC13" s="568">
        <f t="shared" si="13"/>
        <v>320864.24846252473</v>
      </c>
      <c r="AD13" s="488">
        <f t="shared" si="5"/>
        <v>4824</v>
      </c>
      <c r="AE13" s="568">
        <f t="shared" si="12"/>
        <v>325688.24846252473</v>
      </c>
    </row>
    <row r="14" spans="1:31" ht="13.5" customHeight="1" x14ac:dyDescent="0.25">
      <c r="A14" s="508">
        <v>9</v>
      </c>
      <c r="B14" s="518" t="s">
        <v>227</v>
      </c>
      <c r="C14" s="513">
        <v>1</v>
      </c>
      <c r="D14" s="513">
        <v>4</v>
      </c>
      <c r="E14" s="111">
        <v>51</v>
      </c>
      <c r="F14" s="111">
        <v>0.5</v>
      </c>
      <c r="G14" s="561"/>
      <c r="H14" s="562">
        <f t="shared" si="0"/>
        <v>101</v>
      </c>
      <c r="I14" s="111">
        <f t="shared" si="1"/>
        <v>101</v>
      </c>
      <c r="J14" s="545"/>
      <c r="K14" s="2">
        <f t="shared" si="6"/>
        <v>20000</v>
      </c>
      <c r="L14" s="690">
        <f t="shared" si="7"/>
        <v>15992</v>
      </c>
      <c r="M14" s="686">
        <v>50</v>
      </c>
      <c r="N14" s="654">
        <v>51</v>
      </c>
      <c r="O14" s="658">
        <f t="shared" si="8"/>
        <v>93500</v>
      </c>
      <c r="P14" s="564">
        <f t="shared" si="2"/>
        <v>106845</v>
      </c>
      <c r="Q14" s="570"/>
      <c r="R14" s="566">
        <f t="shared" si="3"/>
        <v>4017.7290000000003</v>
      </c>
      <c r="S14" s="567">
        <f t="shared" si="9"/>
        <v>240354.72899999999</v>
      </c>
      <c r="T14" s="567">
        <f t="shared" si="14"/>
        <v>240354.72899999999</v>
      </c>
      <c r="U14" s="107">
        <f t="shared" si="4"/>
        <v>211859.64956235717</v>
      </c>
      <c r="V14" s="49">
        <f t="shared" si="10"/>
        <v>2404.7619038000003</v>
      </c>
      <c r="W14" s="364">
        <v>30000</v>
      </c>
      <c r="X14" s="364">
        <v>8000</v>
      </c>
      <c r="Y14" s="364"/>
      <c r="Z14" s="364"/>
      <c r="AA14" s="210">
        <f t="shared" si="11"/>
        <v>252264.41146615718</v>
      </c>
      <c r="AB14" s="566">
        <v>2404.7619038000003</v>
      </c>
      <c r="AC14" s="568">
        <f t="shared" si="13"/>
        <v>252264.41146615718</v>
      </c>
      <c r="AD14" s="488">
        <f t="shared" si="5"/>
        <v>3672</v>
      </c>
      <c r="AE14" s="568">
        <f t="shared" si="12"/>
        <v>255936.41146615718</v>
      </c>
    </row>
    <row r="15" spans="1:31" ht="13.5" customHeight="1" x14ac:dyDescent="0.25">
      <c r="A15" s="508">
        <v>10</v>
      </c>
      <c r="B15" s="518" t="s">
        <v>228</v>
      </c>
      <c r="C15" s="513">
        <v>1</v>
      </c>
      <c r="D15" s="513">
        <v>6</v>
      </c>
      <c r="E15" s="111">
        <v>61</v>
      </c>
      <c r="F15" s="571">
        <v>0.5</v>
      </c>
      <c r="G15" s="561">
        <v>2</v>
      </c>
      <c r="H15" s="562">
        <f t="shared" si="0"/>
        <v>138</v>
      </c>
      <c r="I15" s="111">
        <f t="shared" si="1"/>
        <v>138</v>
      </c>
      <c r="J15" s="545"/>
      <c r="K15" s="2">
        <f t="shared" si="6"/>
        <v>20000</v>
      </c>
      <c r="L15" s="690">
        <f t="shared" si="7"/>
        <v>23988</v>
      </c>
      <c r="M15" s="686">
        <v>77</v>
      </c>
      <c r="N15" s="654">
        <v>61</v>
      </c>
      <c r="O15" s="658">
        <f t="shared" si="8"/>
        <v>143990</v>
      </c>
      <c r="P15" s="564">
        <f t="shared" si="2"/>
        <v>127795</v>
      </c>
      <c r="Q15" s="570"/>
      <c r="R15" s="566">
        <f t="shared" si="3"/>
        <v>5368.1410000000005</v>
      </c>
      <c r="S15" s="567">
        <f t="shared" si="9"/>
        <v>321141.141</v>
      </c>
      <c r="T15" s="567">
        <f t="shared" si="14"/>
        <v>321141.141</v>
      </c>
      <c r="U15" s="107">
        <f t="shared" si="4"/>
        <v>283068.48746177793</v>
      </c>
      <c r="V15" s="49">
        <f t="shared" si="10"/>
        <v>3285.7142844</v>
      </c>
      <c r="W15" s="364">
        <v>30000</v>
      </c>
      <c r="X15" s="364">
        <v>8000</v>
      </c>
      <c r="Y15" s="364"/>
      <c r="Z15" s="364"/>
      <c r="AA15" s="210">
        <f t="shared" si="11"/>
        <v>324354.20174617792</v>
      </c>
      <c r="AB15" s="566">
        <v>3285.7142844</v>
      </c>
      <c r="AC15" s="568">
        <f t="shared" si="13"/>
        <v>324354.20174617792</v>
      </c>
      <c r="AD15" s="488">
        <f t="shared" si="5"/>
        <v>4392</v>
      </c>
      <c r="AE15" s="568">
        <f t="shared" si="12"/>
        <v>328746.20174617792</v>
      </c>
    </row>
    <row r="16" spans="1:31" ht="13.5" customHeight="1" x14ac:dyDescent="0.25">
      <c r="A16" s="508">
        <v>11</v>
      </c>
      <c r="B16" s="518" t="s">
        <v>229</v>
      </c>
      <c r="C16" s="513">
        <v>1</v>
      </c>
      <c r="D16" s="513">
        <v>1</v>
      </c>
      <c r="E16" s="111">
        <v>6</v>
      </c>
      <c r="F16" s="511">
        <v>0</v>
      </c>
      <c r="G16" s="561">
        <v>1</v>
      </c>
      <c r="H16" s="562">
        <f t="shared" si="0"/>
        <v>17</v>
      </c>
      <c r="I16" s="111">
        <f t="shared" si="1"/>
        <v>17</v>
      </c>
      <c r="J16" s="545"/>
      <c r="K16" s="2">
        <f t="shared" si="6"/>
        <v>20000</v>
      </c>
      <c r="L16" s="690">
        <f t="shared" si="7"/>
        <v>3998</v>
      </c>
      <c r="M16" s="686">
        <v>11</v>
      </c>
      <c r="N16" s="654">
        <v>6</v>
      </c>
      <c r="O16" s="658">
        <f t="shared" si="8"/>
        <v>20570</v>
      </c>
      <c r="P16" s="564">
        <f t="shared" si="2"/>
        <v>12570</v>
      </c>
      <c r="Q16" s="570"/>
      <c r="R16" s="566">
        <f t="shared" si="3"/>
        <v>971.34600000000012</v>
      </c>
      <c r="S16" s="567">
        <f t="shared" si="9"/>
        <v>58109.345999999998</v>
      </c>
      <c r="T16" s="567">
        <f t="shared" si="14"/>
        <v>58109.345999999998</v>
      </c>
      <c r="U16" s="107">
        <f t="shared" si="4"/>
        <v>51220.234904792582</v>
      </c>
      <c r="V16" s="49">
        <f t="shared" si="10"/>
        <v>404.76190460000004</v>
      </c>
      <c r="W16" s="364">
        <v>5000</v>
      </c>
      <c r="X16" s="364">
        <f>IF(F16=0.5,3850,0)</f>
        <v>0</v>
      </c>
      <c r="Y16" s="364"/>
      <c r="Z16" s="364"/>
      <c r="AA16" s="210">
        <f t="shared" si="11"/>
        <v>56624.996809392585</v>
      </c>
      <c r="AB16" s="566">
        <v>404.76190460000004</v>
      </c>
      <c r="AC16" s="568">
        <f t="shared" si="13"/>
        <v>56624.996809392585</v>
      </c>
      <c r="AD16" s="488">
        <f t="shared" si="5"/>
        <v>432</v>
      </c>
      <c r="AE16" s="568">
        <f t="shared" si="12"/>
        <v>57056.996809392585</v>
      </c>
    </row>
    <row r="17" spans="1:31" ht="13.5" customHeight="1" x14ac:dyDescent="0.25">
      <c r="A17" s="508">
        <v>12</v>
      </c>
      <c r="B17" s="518" t="s">
        <v>230</v>
      </c>
      <c r="C17" s="513">
        <v>1</v>
      </c>
      <c r="D17" s="513">
        <v>8</v>
      </c>
      <c r="E17" s="111">
        <v>113</v>
      </c>
      <c r="F17" s="111">
        <v>0.5</v>
      </c>
      <c r="G17" s="561">
        <v>2</v>
      </c>
      <c r="H17" s="562">
        <f t="shared" si="0"/>
        <v>213</v>
      </c>
      <c r="I17" s="111">
        <f t="shared" si="1"/>
        <v>213</v>
      </c>
      <c r="J17" s="545"/>
      <c r="K17" s="2">
        <f t="shared" si="6"/>
        <v>20000</v>
      </c>
      <c r="L17" s="690">
        <f t="shared" si="7"/>
        <v>31984</v>
      </c>
      <c r="M17" s="686">
        <v>100</v>
      </c>
      <c r="N17" s="654">
        <v>113</v>
      </c>
      <c r="O17" s="658">
        <f t="shared" si="8"/>
        <v>187000</v>
      </c>
      <c r="P17" s="564">
        <f t="shared" si="2"/>
        <v>236735</v>
      </c>
      <c r="Q17" s="570"/>
      <c r="R17" s="566">
        <f t="shared" si="3"/>
        <v>8087.2230000000009</v>
      </c>
      <c r="S17" s="567">
        <f t="shared" si="9"/>
        <v>483806.223</v>
      </c>
      <c r="T17" s="567">
        <f t="shared" si="14"/>
        <v>483806.223</v>
      </c>
      <c r="U17" s="107">
        <f t="shared" si="4"/>
        <v>426448.92941077781</v>
      </c>
      <c r="V17" s="49">
        <f t="shared" si="10"/>
        <v>5071.4285694</v>
      </c>
      <c r="W17" s="364"/>
      <c r="X17" s="364">
        <v>8000</v>
      </c>
      <c r="Y17" s="364"/>
      <c r="Z17" s="364">
        <v>10000</v>
      </c>
      <c r="AA17" s="210">
        <f t="shared" si="11"/>
        <v>449520.3579801778</v>
      </c>
      <c r="AB17" s="566">
        <v>5071.4285694</v>
      </c>
      <c r="AC17" s="568">
        <f>AA17+Q17</f>
        <v>449520.3579801778</v>
      </c>
      <c r="AD17" s="488">
        <f t="shared" si="5"/>
        <v>8136</v>
      </c>
      <c r="AE17" s="568">
        <f t="shared" si="12"/>
        <v>457656.3579801778</v>
      </c>
    </row>
    <row r="18" spans="1:31" ht="13.5" customHeight="1" x14ac:dyDescent="0.25">
      <c r="A18" s="508">
        <v>13</v>
      </c>
      <c r="B18" s="518" t="s">
        <v>231</v>
      </c>
      <c r="C18" s="513">
        <v>1</v>
      </c>
      <c r="D18" s="513">
        <v>5</v>
      </c>
      <c r="E18" s="111">
        <v>60</v>
      </c>
      <c r="F18" s="511">
        <v>0.5</v>
      </c>
      <c r="G18" s="561">
        <v>2</v>
      </c>
      <c r="H18" s="562">
        <f t="shared" si="0"/>
        <v>119</v>
      </c>
      <c r="I18" s="111">
        <f t="shared" si="1"/>
        <v>119</v>
      </c>
      <c r="J18" s="545"/>
      <c r="K18" s="2">
        <f t="shared" si="6"/>
        <v>20000</v>
      </c>
      <c r="L18" s="690">
        <f t="shared" si="7"/>
        <v>19990</v>
      </c>
      <c r="M18" s="686">
        <v>59</v>
      </c>
      <c r="N18" s="654">
        <v>60</v>
      </c>
      <c r="O18" s="658">
        <f t="shared" si="8"/>
        <v>110330</v>
      </c>
      <c r="P18" s="564">
        <f t="shared" si="2"/>
        <v>125700</v>
      </c>
      <c r="Q18" s="570"/>
      <c r="R18" s="566">
        <f t="shared" si="3"/>
        <v>4692.34</v>
      </c>
      <c r="S18" s="567">
        <f t="shared" si="9"/>
        <v>280712.33999999997</v>
      </c>
      <c r="T18" s="567">
        <f t="shared" si="14"/>
        <v>280712.33999999997</v>
      </c>
      <c r="U18" s="107">
        <f t="shared" si="4"/>
        <v>247432.69345130818</v>
      </c>
      <c r="V18" s="49">
        <f t="shared" si="10"/>
        <v>2833.3333322000003</v>
      </c>
      <c r="W18" s="364">
        <v>35000</v>
      </c>
      <c r="X18" s="364">
        <v>8000</v>
      </c>
      <c r="Y18" s="364"/>
      <c r="Z18" s="364">
        <v>5000</v>
      </c>
      <c r="AA18" s="210">
        <f t="shared" si="11"/>
        <v>298266.02678350819</v>
      </c>
      <c r="AB18" s="566">
        <v>2833.3333322000003</v>
      </c>
      <c r="AC18" s="568">
        <f t="shared" si="13"/>
        <v>298266.02678350819</v>
      </c>
      <c r="AD18" s="488">
        <f t="shared" si="5"/>
        <v>4320</v>
      </c>
      <c r="AE18" s="568">
        <f t="shared" si="12"/>
        <v>302586.02678350819</v>
      </c>
    </row>
    <row r="19" spans="1:31" ht="13.5" customHeight="1" x14ac:dyDescent="0.25">
      <c r="A19" s="508">
        <v>14</v>
      </c>
      <c r="B19" s="518" t="s">
        <v>232</v>
      </c>
      <c r="C19" s="572">
        <v>1</v>
      </c>
      <c r="D19" s="572">
        <v>12</v>
      </c>
      <c r="E19" s="111">
        <v>151</v>
      </c>
      <c r="F19" s="111">
        <v>1</v>
      </c>
      <c r="G19" s="573">
        <v>3</v>
      </c>
      <c r="H19" s="562">
        <f>I19+J19</f>
        <v>307</v>
      </c>
      <c r="I19" s="111">
        <f t="shared" si="1"/>
        <v>307</v>
      </c>
      <c r="J19" s="545"/>
      <c r="K19" s="2">
        <f t="shared" si="6"/>
        <v>20000</v>
      </c>
      <c r="L19" s="690">
        <f t="shared" si="7"/>
        <v>47976</v>
      </c>
      <c r="M19" s="686">
        <v>156</v>
      </c>
      <c r="N19" s="654">
        <v>151</v>
      </c>
      <c r="O19" s="658">
        <f t="shared" si="8"/>
        <v>291720</v>
      </c>
      <c r="P19" s="564">
        <f t="shared" si="2"/>
        <v>316345</v>
      </c>
      <c r="Q19" s="570"/>
      <c r="R19" s="566">
        <f t="shared" si="3"/>
        <v>11492.697</v>
      </c>
      <c r="S19" s="567">
        <f t="shared" si="9"/>
        <v>687533.69700000004</v>
      </c>
      <c r="T19" s="567">
        <f t="shared" si="14"/>
        <v>687533.69700000004</v>
      </c>
      <c r="U19" s="107">
        <f t="shared" si="4"/>
        <v>606023.64145176392</v>
      </c>
      <c r="V19" s="49">
        <f t="shared" si="10"/>
        <v>7309.5238066000002</v>
      </c>
      <c r="W19" s="364"/>
      <c r="X19" s="364">
        <v>16000</v>
      </c>
      <c r="Y19" s="364"/>
      <c r="Z19" s="364">
        <v>10000</v>
      </c>
      <c r="AA19" s="210">
        <f t="shared" si="11"/>
        <v>639333.16525836394</v>
      </c>
      <c r="AB19" s="566">
        <v>7309.5238066000002</v>
      </c>
      <c r="AC19" s="568">
        <f t="shared" si="13"/>
        <v>639333.16525836394</v>
      </c>
      <c r="AD19" s="488">
        <f t="shared" si="5"/>
        <v>10872</v>
      </c>
      <c r="AE19" s="568">
        <f t="shared" si="12"/>
        <v>650205.16525836394</v>
      </c>
    </row>
    <row r="20" spans="1:31" ht="13.5" customHeight="1" x14ac:dyDescent="0.25">
      <c r="A20" s="508">
        <v>15</v>
      </c>
      <c r="B20" s="518" t="s">
        <v>233</v>
      </c>
      <c r="C20" s="520">
        <v>1</v>
      </c>
      <c r="D20" s="520">
        <v>7</v>
      </c>
      <c r="E20" s="111">
        <v>68</v>
      </c>
      <c r="F20" s="111">
        <v>0.5</v>
      </c>
      <c r="G20" s="573"/>
      <c r="H20" s="562">
        <f t="shared" ref="H20:H33" si="15">I20+J20</f>
        <v>150</v>
      </c>
      <c r="I20" s="111">
        <f t="shared" si="1"/>
        <v>150</v>
      </c>
      <c r="J20" s="545"/>
      <c r="K20" s="2">
        <f t="shared" si="6"/>
        <v>20000</v>
      </c>
      <c r="L20" s="690">
        <f t="shared" si="7"/>
        <v>27986</v>
      </c>
      <c r="M20" s="686">
        <v>82</v>
      </c>
      <c r="N20" s="654">
        <v>68</v>
      </c>
      <c r="O20" s="658">
        <f t="shared" si="8"/>
        <v>153340</v>
      </c>
      <c r="P20" s="564">
        <f t="shared" si="2"/>
        <v>142460</v>
      </c>
      <c r="Q20" s="570"/>
      <c r="R20" s="566">
        <f t="shared" si="3"/>
        <v>5844.3620000000001</v>
      </c>
      <c r="S20" s="567">
        <f t="shared" si="9"/>
        <v>349630.36200000002</v>
      </c>
      <c r="T20" s="567">
        <f t="shared" si="14"/>
        <v>349630.36200000002</v>
      </c>
      <c r="U20" s="107">
        <f t="shared" si="4"/>
        <v>308180.18966325431</v>
      </c>
      <c r="V20" s="49">
        <f t="shared" si="10"/>
        <v>3571.42857</v>
      </c>
      <c r="W20" s="364">
        <v>30000</v>
      </c>
      <c r="X20" s="364">
        <v>8000</v>
      </c>
      <c r="Y20" s="364">
        <v>22000</v>
      </c>
      <c r="Z20" s="364">
        <v>20000</v>
      </c>
      <c r="AA20" s="210">
        <f t="shared" si="11"/>
        <v>391751.6182332543</v>
      </c>
      <c r="AB20" s="566">
        <v>3571.42857</v>
      </c>
      <c r="AC20" s="568">
        <f t="shared" si="13"/>
        <v>391751.6182332543</v>
      </c>
      <c r="AD20" s="488">
        <f t="shared" si="5"/>
        <v>4896</v>
      </c>
      <c r="AE20" s="568">
        <f t="shared" si="12"/>
        <v>396647.6182332543</v>
      </c>
    </row>
    <row r="21" spans="1:31" ht="13.5" customHeight="1" x14ac:dyDescent="0.25">
      <c r="A21" s="508">
        <v>16</v>
      </c>
      <c r="B21" s="518" t="s">
        <v>234</v>
      </c>
      <c r="C21" s="513">
        <v>1</v>
      </c>
      <c r="D21" s="513">
        <v>8</v>
      </c>
      <c r="E21" s="111">
        <v>74</v>
      </c>
      <c r="F21" s="111">
        <v>0.5</v>
      </c>
      <c r="G21" s="573"/>
      <c r="H21" s="562">
        <f t="shared" si="15"/>
        <v>172</v>
      </c>
      <c r="I21" s="111">
        <f t="shared" si="1"/>
        <v>172</v>
      </c>
      <c r="J21" s="545"/>
      <c r="K21" s="2">
        <f t="shared" si="6"/>
        <v>20000</v>
      </c>
      <c r="L21" s="690">
        <f t="shared" si="7"/>
        <v>31984</v>
      </c>
      <c r="M21" s="686">
        <v>98</v>
      </c>
      <c r="N21" s="654">
        <v>74</v>
      </c>
      <c r="O21" s="658">
        <f t="shared" si="8"/>
        <v>183260</v>
      </c>
      <c r="P21" s="564">
        <f t="shared" si="2"/>
        <v>155030</v>
      </c>
      <c r="Q21" s="570"/>
      <c r="R21" s="566">
        <f t="shared" si="3"/>
        <v>6634.6580000000004</v>
      </c>
      <c r="S21" s="567">
        <f t="shared" si="9"/>
        <v>396908.658</v>
      </c>
      <c r="T21" s="567">
        <f t="shared" si="14"/>
        <v>396908.658</v>
      </c>
      <c r="U21" s="107">
        <f t="shared" si="4"/>
        <v>349853.44179413037</v>
      </c>
      <c r="V21" s="49">
        <f t="shared" si="10"/>
        <v>4095.2380936</v>
      </c>
      <c r="W21" s="364">
        <v>20000</v>
      </c>
      <c r="X21" s="364">
        <v>8000</v>
      </c>
      <c r="Y21" s="364"/>
      <c r="Z21" s="364">
        <v>5000</v>
      </c>
      <c r="AA21" s="210">
        <f t="shared" si="11"/>
        <v>386948.6798877304</v>
      </c>
      <c r="AB21" s="566">
        <v>4095.2380936</v>
      </c>
      <c r="AC21" s="568">
        <f t="shared" si="13"/>
        <v>386948.6798877304</v>
      </c>
      <c r="AD21" s="488">
        <f t="shared" si="5"/>
        <v>5328</v>
      </c>
      <c r="AE21" s="568">
        <f t="shared" si="12"/>
        <v>392276.6798877304</v>
      </c>
    </row>
    <row r="22" spans="1:31" ht="13.5" customHeight="1" x14ac:dyDescent="0.25">
      <c r="A22" s="508">
        <v>17</v>
      </c>
      <c r="B22" s="518" t="s">
        <v>235</v>
      </c>
      <c r="C22" s="513">
        <v>1</v>
      </c>
      <c r="D22" s="513">
        <v>5</v>
      </c>
      <c r="E22" s="111">
        <v>64</v>
      </c>
      <c r="F22" s="511">
        <v>0.5</v>
      </c>
      <c r="G22" s="561"/>
      <c r="H22" s="562">
        <f t="shared" si="15"/>
        <v>132</v>
      </c>
      <c r="I22" s="111">
        <f t="shared" si="1"/>
        <v>132</v>
      </c>
      <c r="J22" s="545"/>
      <c r="K22" s="2">
        <f t="shared" si="6"/>
        <v>20000</v>
      </c>
      <c r="L22" s="690">
        <f t="shared" si="7"/>
        <v>19990</v>
      </c>
      <c r="M22" s="686">
        <v>68</v>
      </c>
      <c r="N22" s="654">
        <v>64</v>
      </c>
      <c r="O22" s="658">
        <f t="shared" si="8"/>
        <v>127160</v>
      </c>
      <c r="P22" s="564">
        <f t="shared" si="2"/>
        <v>134080</v>
      </c>
      <c r="Q22" s="570"/>
      <c r="R22" s="566">
        <f t="shared" si="3"/>
        <v>5120.9100000000008</v>
      </c>
      <c r="S22" s="567">
        <f t="shared" si="9"/>
        <v>306350.90999999997</v>
      </c>
      <c r="T22" s="567">
        <f t="shared" si="14"/>
        <v>306350.90999999997</v>
      </c>
      <c r="U22" s="107">
        <f t="shared" si="4"/>
        <v>270031.70150111429</v>
      </c>
      <c r="V22" s="49">
        <f t="shared" si="10"/>
        <v>3142.8571416</v>
      </c>
      <c r="W22" s="364"/>
      <c r="X22" s="364">
        <v>8000</v>
      </c>
      <c r="Y22" s="364"/>
      <c r="Z22" s="364">
        <v>5000</v>
      </c>
      <c r="AA22" s="210">
        <f t="shared" si="11"/>
        <v>286174.55864271428</v>
      </c>
      <c r="AB22" s="566">
        <v>3142.8571416</v>
      </c>
      <c r="AC22" s="568">
        <f t="shared" si="13"/>
        <v>286174.55864271428</v>
      </c>
      <c r="AD22" s="488">
        <f t="shared" si="5"/>
        <v>4608</v>
      </c>
      <c r="AE22" s="568">
        <f t="shared" si="12"/>
        <v>290782.55864271428</v>
      </c>
    </row>
    <row r="23" spans="1:31" ht="13.5" customHeight="1" x14ac:dyDescent="0.25">
      <c r="A23" s="508">
        <v>18</v>
      </c>
      <c r="B23" s="509" t="s">
        <v>236</v>
      </c>
      <c r="C23" s="513">
        <v>1</v>
      </c>
      <c r="D23" s="513">
        <v>1</v>
      </c>
      <c r="E23" s="574">
        <v>3</v>
      </c>
      <c r="F23" s="511"/>
      <c r="G23" s="561"/>
      <c r="H23" s="562">
        <f t="shared" si="15"/>
        <v>12</v>
      </c>
      <c r="I23" s="111">
        <f t="shared" si="1"/>
        <v>12</v>
      </c>
      <c r="J23" s="545"/>
      <c r="K23" s="2">
        <f t="shared" si="6"/>
        <v>20000</v>
      </c>
      <c r="L23" s="690">
        <f t="shared" si="7"/>
        <v>3998</v>
      </c>
      <c r="M23" s="686">
        <v>9</v>
      </c>
      <c r="N23" s="655">
        <v>3</v>
      </c>
      <c r="O23" s="658">
        <f t="shared" si="8"/>
        <v>16830</v>
      </c>
      <c r="P23" s="564">
        <f t="shared" si="2"/>
        <v>6285</v>
      </c>
      <c r="Q23" s="570"/>
      <c r="R23" s="566">
        <f t="shared" si="3"/>
        <v>800.92100000000005</v>
      </c>
      <c r="S23" s="567">
        <f t="shared" si="9"/>
        <v>47913.921000000002</v>
      </c>
      <c r="T23" s="567">
        <f t="shared" si="14"/>
        <v>47913.921000000002</v>
      </c>
      <c r="U23" s="107">
        <f t="shared" si="4"/>
        <v>42233.52107300733</v>
      </c>
      <c r="V23" s="49">
        <f t="shared" si="10"/>
        <v>285.71428560000004</v>
      </c>
      <c r="W23" s="364">
        <v>15000</v>
      </c>
      <c r="X23" s="364">
        <f t="shared" ref="X23:X33" si="16">IF(F23=1,7700,0)</f>
        <v>0</v>
      </c>
      <c r="Y23" s="364"/>
      <c r="Z23" s="364"/>
      <c r="AA23" s="210">
        <f t="shared" si="11"/>
        <v>57519.23535860733</v>
      </c>
      <c r="AB23" s="566">
        <v>285.71428560000004</v>
      </c>
      <c r="AC23" s="568">
        <f t="shared" si="13"/>
        <v>57519.23535860733</v>
      </c>
      <c r="AD23" s="488">
        <f t="shared" si="5"/>
        <v>216</v>
      </c>
      <c r="AE23" s="568">
        <f t="shared" si="12"/>
        <v>57735.23535860733</v>
      </c>
    </row>
    <row r="24" spans="1:31" ht="13.5" customHeight="1" x14ac:dyDescent="0.25">
      <c r="A24" s="508">
        <v>19</v>
      </c>
      <c r="B24" s="518" t="s">
        <v>206</v>
      </c>
      <c r="C24" s="520">
        <v>1</v>
      </c>
      <c r="D24" s="520">
        <v>1</v>
      </c>
      <c r="E24" s="574">
        <v>5</v>
      </c>
      <c r="F24" s="521"/>
      <c r="G24" s="561"/>
      <c r="H24" s="562">
        <f t="shared" si="15"/>
        <v>15</v>
      </c>
      <c r="I24" s="111">
        <f t="shared" si="1"/>
        <v>15</v>
      </c>
      <c r="J24" s="128"/>
      <c r="K24" s="2">
        <f t="shared" si="6"/>
        <v>20000</v>
      </c>
      <c r="L24" s="690">
        <f t="shared" si="7"/>
        <v>3998</v>
      </c>
      <c r="M24" s="686">
        <v>10</v>
      </c>
      <c r="N24" s="655">
        <v>5</v>
      </c>
      <c r="O24" s="658">
        <f t="shared" si="8"/>
        <v>18700</v>
      </c>
      <c r="P24" s="564">
        <f t="shared" si="2"/>
        <v>10475</v>
      </c>
      <c r="Q24" s="565"/>
      <c r="R24" s="566">
        <f t="shared" si="3"/>
        <v>903.94100000000003</v>
      </c>
      <c r="S24" s="567">
        <f t="shared" si="9"/>
        <v>54076.940999999999</v>
      </c>
      <c r="T24" s="567">
        <f t="shared" si="14"/>
        <v>54076.940999999999</v>
      </c>
      <c r="U24" s="107">
        <f t="shared" si="4"/>
        <v>47665.888735911933</v>
      </c>
      <c r="V24" s="49">
        <f t="shared" si="10"/>
        <v>357.14285699999999</v>
      </c>
      <c r="W24" s="364">
        <v>5000</v>
      </c>
      <c r="X24" s="364">
        <f t="shared" si="16"/>
        <v>0</v>
      </c>
      <c r="Y24" s="364"/>
      <c r="Z24" s="364"/>
      <c r="AA24" s="210">
        <f t="shared" si="11"/>
        <v>53023.031592911932</v>
      </c>
      <c r="AB24" s="566">
        <v>357.14285699999999</v>
      </c>
      <c r="AC24" s="568">
        <f t="shared" si="13"/>
        <v>53023.031592911932</v>
      </c>
      <c r="AD24" s="488">
        <f t="shared" si="5"/>
        <v>360</v>
      </c>
      <c r="AE24" s="568">
        <f t="shared" si="12"/>
        <v>53383.031592911932</v>
      </c>
    </row>
    <row r="25" spans="1:31" ht="13.5" customHeight="1" x14ac:dyDescent="0.25">
      <c r="A25" s="508">
        <v>20</v>
      </c>
      <c r="B25" s="509" t="s">
        <v>237</v>
      </c>
      <c r="C25" s="520">
        <v>1</v>
      </c>
      <c r="D25" s="520">
        <v>1</v>
      </c>
      <c r="E25" s="574">
        <v>7</v>
      </c>
      <c r="F25" s="511"/>
      <c r="G25" s="561"/>
      <c r="H25" s="562">
        <f t="shared" si="15"/>
        <v>13</v>
      </c>
      <c r="I25" s="111">
        <f t="shared" si="1"/>
        <v>13</v>
      </c>
      <c r="J25" s="545"/>
      <c r="K25" s="2">
        <f t="shared" si="6"/>
        <v>20000</v>
      </c>
      <c r="L25" s="690">
        <f t="shared" si="7"/>
        <v>3998</v>
      </c>
      <c r="M25" s="686">
        <v>6</v>
      </c>
      <c r="N25" s="655">
        <v>7</v>
      </c>
      <c r="O25" s="658">
        <f t="shared" si="8"/>
        <v>11220</v>
      </c>
      <c r="P25" s="564">
        <f t="shared" si="2"/>
        <v>14665</v>
      </c>
      <c r="Q25" s="570"/>
      <c r="R25" s="566">
        <f t="shared" si="3"/>
        <v>848.01100000000008</v>
      </c>
      <c r="S25" s="567">
        <f t="shared" si="9"/>
        <v>50731.010999999999</v>
      </c>
      <c r="T25" s="567">
        <f t="shared" si="14"/>
        <v>50731.010999999999</v>
      </c>
      <c r="U25" s="107">
        <f t="shared" si="4"/>
        <v>44716.633024533032</v>
      </c>
      <c r="V25" s="49">
        <f t="shared" si="10"/>
        <v>309.5238094</v>
      </c>
      <c r="W25" s="364">
        <v>20000</v>
      </c>
      <c r="X25" s="364">
        <f t="shared" si="16"/>
        <v>0</v>
      </c>
      <c r="Y25" s="364"/>
      <c r="Z25" s="364"/>
      <c r="AA25" s="210">
        <f t="shared" si="11"/>
        <v>65026.156833933033</v>
      </c>
      <c r="AB25" s="566">
        <v>309.5238094</v>
      </c>
      <c r="AC25" s="568">
        <f t="shared" si="13"/>
        <v>65026.156833933033</v>
      </c>
      <c r="AD25" s="488">
        <f t="shared" si="5"/>
        <v>504</v>
      </c>
      <c r="AE25" s="568">
        <f t="shared" si="12"/>
        <v>65530.156833933033</v>
      </c>
    </row>
    <row r="26" spans="1:31" ht="13.5" customHeight="1" x14ac:dyDescent="0.25">
      <c r="A26" s="508">
        <v>21</v>
      </c>
      <c r="B26" s="518" t="s">
        <v>238</v>
      </c>
      <c r="C26" s="513">
        <v>1</v>
      </c>
      <c r="D26" s="513">
        <v>1</v>
      </c>
      <c r="E26" s="574">
        <v>9</v>
      </c>
      <c r="F26" s="511"/>
      <c r="G26" s="561"/>
      <c r="H26" s="562">
        <f t="shared" si="15"/>
        <v>17</v>
      </c>
      <c r="I26" s="111">
        <f t="shared" si="1"/>
        <v>17</v>
      </c>
      <c r="J26" s="545"/>
      <c r="K26" s="2">
        <f t="shared" si="6"/>
        <v>20000</v>
      </c>
      <c r="L26" s="690">
        <f t="shared" si="7"/>
        <v>3998</v>
      </c>
      <c r="M26" s="686">
        <v>8</v>
      </c>
      <c r="N26" s="655">
        <v>9</v>
      </c>
      <c r="O26" s="658">
        <f t="shared" si="8"/>
        <v>14960</v>
      </c>
      <c r="P26" s="564">
        <f t="shared" si="2"/>
        <v>18855</v>
      </c>
      <c r="Q26" s="570"/>
      <c r="R26" s="566">
        <f t="shared" si="3"/>
        <v>982.82100000000003</v>
      </c>
      <c r="S26" s="567">
        <f t="shared" si="9"/>
        <v>58795.821000000004</v>
      </c>
      <c r="T26" s="567">
        <f t="shared" si="14"/>
        <v>58795.821000000004</v>
      </c>
      <c r="U26" s="107">
        <f t="shared" si="4"/>
        <v>51825.325362294338</v>
      </c>
      <c r="V26" s="49">
        <f t="shared" si="10"/>
        <v>404.76190460000004</v>
      </c>
      <c r="W26" s="364">
        <v>5000</v>
      </c>
      <c r="X26" s="364">
        <f t="shared" si="16"/>
        <v>0</v>
      </c>
      <c r="Y26" s="364"/>
      <c r="Z26" s="364"/>
      <c r="AA26" s="210">
        <f t="shared" si="11"/>
        <v>57230.087266894341</v>
      </c>
      <c r="AB26" s="566">
        <v>404.76190460000004</v>
      </c>
      <c r="AC26" s="568">
        <f t="shared" si="13"/>
        <v>57230.087266894341</v>
      </c>
      <c r="AD26" s="488">
        <f t="shared" si="5"/>
        <v>648</v>
      </c>
      <c r="AE26" s="568">
        <f t="shared" si="12"/>
        <v>57878.087266894341</v>
      </c>
    </row>
    <row r="27" spans="1:31" ht="13.5" customHeight="1" x14ac:dyDescent="0.25">
      <c r="A27" s="508">
        <v>22</v>
      </c>
      <c r="B27" s="518" t="s">
        <v>239</v>
      </c>
      <c r="C27" s="513">
        <v>1</v>
      </c>
      <c r="D27" s="513">
        <v>1</v>
      </c>
      <c r="E27" s="574">
        <v>12</v>
      </c>
      <c r="F27" s="511"/>
      <c r="G27" s="561"/>
      <c r="H27" s="562">
        <f t="shared" si="15"/>
        <v>23</v>
      </c>
      <c r="I27" s="111">
        <f t="shared" si="1"/>
        <v>23</v>
      </c>
      <c r="J27" s="545"/>
      <c r="K27" s="2">
        <f t="shared" si="6"/>
        <v>20000</v>
      </c>
      <c r="L27" s="690">
        <f t="shared" si="7"/>
        <v>3998</v>
      </c>
      <c r="M27" s="686">
        <v>11</v>
      </c>
      <c r="N27" s="655">
        <v>12</v>
      </c>
      <c r="O27" s="658">
        <f t="shared" si="8"/>
        <v>20570</v>
      </c>
      <c r="P27" s="564">
        <f t="shared" si="2"/>
        <v>25140</v>
      </c>
      <c r="Q27" s="570"/>
      <c r="R27" s="566">
        <f t="shared" si="3"/>
        <v>1185.0360000000001</v>
      </c>
      <c r="S27" s="567">
        <f t="shared" si="9"/>
        <v>70893.035999999993</v>
      </c>
      <c r="T27" s="567">
        <f t="shared" si="14"/>
        <v>70893.035999999993</v>
      </c>
      <c r="U27" s="107">
        <f t="shared" si="4"/>
        <v>62488.363868936278</v>
      </c>
      <c r="V27" s="49">
        <f t="shared" si="10"/>
        <v>547.6190474</v>
      </c>
      <c r="W27" s="364"/>
      <c r="X27" s="364">
        <f t="shared" si="16"/>
        <v>0</v>
      </c>
      <c r="Y27" s="364"/>
      <c r="Z27" s="364"/>
      <c r="AA27" s="210">
        <f t="shared" si="11"/>
        <v>63035.982916336281</v>
      </c>
      <c r="AB27" s="566">
        <v>547.6190474</v>
      </c>
      <c r="AC27" s="568">
        <f t="shared" si="13"/>
        <v>63035.982916336281</v>
      </c>
      <c r="AD27" s="488">
        <f t="shared" si="5"/>
        <v>864</v>
      </c>
      <c r="AE27" s="568">
        <f t="shared" si="12"/>
        <v>63899.982916336281</v>
      </c>
    </row>
    <row r="28" spans="1:31" ht="13.5" customHeight="1" x14ac:dyDescent="0.25">
      <c r="A28" s="508">
        <v>23</v>
      </c>
      <c r="B28" s="518" t="s">
        <v>240</v>
      </c>
      <c r="C28" s="513">
        <v>1</v>
      </c>
      <c r="D28" s="513">
        <v>2</v>
      </c>
      <c r="E28" s="574">
        <v>15</v>
      </c>
      <c r="F28" s="511"/>
      <c r="G28" s="561"/>
      <c r="H28" s="562">
        <f t="shared" si="15"/>
        <v>34</v>
      </c>
      <c r="I28" s="111">
        <f t="shared" si="1"/>
        <v>34</v>
      </c>
      <c r="J28" s="545"/>
      <c r="K28" s="2">
        <f t="shared" si="6"/>
        <v>20000</v>
      </c>
      <c r="L28" s="690">
        <f t="shared" si="7"/>
        <v>7996</v>
      </c>
      <c r="M28" s="686">
        <v>19</v>
      </c>
      <c r="N28" s="655">
        <v>15</v>
      </c>
      <c r="O28" s="658">
        <f t="shared" si="8"/>
        <v>35530</v>
      </c>
      <c r="P28" s="564">
        <f t="shared" si="2"/>
        <v>31425</v>
      </c>
      <c r="Q28" s="570"/>
      <c r="R28" s="566">
        <f t="shared" si="3"/>
        <v>1614.1670000000001</v>
      </c>
      <c r="S28" s="567">
        <f t="shared" si="9"/>
        <v>96565.167000000001</v>
      </c>
      <c r="T28" s="567">
        <f t="shared" si="14"/>
        <v>96565.167000000001</v>
      </c>
      <c r="U28" s="107">
        <f t="shared" si="4"/>
        <v>85116.954118886919</v>
      </c>
      <c r="V28" s="49">
        <f t="shared" si="10"/>
        <v>809.52380920000007</v>
      </c>
      <c r="W28" s="364">
        <v>10000</v>
      </c>
      <c r="X28" s="364">
        <f t="shared" si="16"/>
        <v>0</v>
      </c>
      <c r="Y28" s="364"/>
      <c r="Z28" s="364"/>
      <c r="AA28" s="210">
        <f t="shared" si="11"/>
        <v>95926.477928086926</v>
      </c>
      <c r="AB28" s="566">
        <v>809.52380920000007</v>
      </c>
      <c r="AC28" s="568">
        <f t="shared" si="13"/>
        <v>95926.477928086926</v>
      </c>
      <c r="AD28" s="488">
        <f t="shared" si="5"/>
        <v>1080</v>
      </c>
      <c r="AE28" s="568">
        <f t="shared" si="12"/>
        <v>97006.477928086926</v>
      </c>
    </row>
    <row r="29" spans="1:31" ht="13.5" customHeight="1" x14ac:dyDescent="0.25">
      <c r="A29" s="508">
        <v>24</v>
      </c>
      <c r="B29" s="518" t="s">
        <v>241</v>
      </c>
      <c r="C29" s="513">
        <v>1</v>
      </c>
      <c r="D29" s="513">
        <v>1</v>
      </c>
      <c r="E29" s="574">
        <v>8</v>
      </c>
      <c r="F29" s="511"/>
      <c r="G29" s="561"/>
      <c r="H29" s="562">
        <f t="shared" si="15"/>
        <v>17</v>
      </c>
      <c r="I29" s="111">
        <f t="shared" si="1"/>
        <v>17</v>
      </c>
      <c r="J29" s="545"/>
      <c r="K29" s="2">
        <f t="shared" si="6"/>
        <v>20000</v>
      </c>
      <c r="L29" s="690">
        <f t="shared" si="7"/>
        <v>3998</v>
      </c>
      <c r="M29" s="686">
        <v>9</v>
      </c>
      <c r="N29" s="655">
        <v>8</v>
      </c>
      <c r="O29" s="658">
        <f t="shared" si="8"/>
        <v>16830</v>
      </c>
      <c r="P29" s="564">
        <f t="shared" si="2"/>
        <v>16760</v>
      </c>
      <c r="Q29" s="570"/>
      <c r="R29" s="566">
        <f t="shared" si="3"/>
        <v>978.99600000000009</v>
      </c>
      <c r="S29" s="567">
        <f t="shared" si="9"/>
        <v>58566.995999999999</v>
      </c>
      <c r="T29" s="567">
        <f t="shared" si="14"/>
        <v>58566.995999999999</v>
      </c>
      <c r="U29" s="107">
        <f t="shared" si="4"/>
        <v>51623.628543127081</v>
      </c>
      <c r="V29" s="49">
        <f t="shared" si="10"/>
        <v>404.76190460000004</v>
      </c>
      <c r="W29" s="364">
        <v>5000</v>
      </c>
      <c r="X29" s="364">
        <f t="shared" si="16"/>
        <v>0</v>
      </c>
      <c r="Y29" s="364"/>
      <c r="Z29" s="364"/>
      <c r="AA29" s="210">
        <f t="shared" si="11"/>
        <v>57028.390447727084</v>
      </c>
      <c r="AB29" s="566">
        <v>404.76190460000004</v>
      </c>
      <c r="AC29" s="568">
        <f t="shared" si="13"/>
        <v>57028.390447727084</v>
      </c>
      <c r="AD29" s="488">
        <f t="shared" si="5"/>
        <v>576</v>
      </c>
      <c r="AE29" s="568">
        <f t="shared" si="12"/>
        <v>57604.390447727084</v>
      </c>
    </row>
    <row r="30" spans="1:31" ht="13.5" customHeight="1" x14ac:dyDescent="0.25">
      <c r="A30" s="508">
        <v>25</v>
      </c>
      <c r="B30" s="518" t="s">
        <v>242</v>
      </c>
      <c r="C30" s="513">
        <v>1</v>
      </c>
      <c r="D30" s="513">
        <v>1</v>
      </c>
      <c r="E30" s="574">
        <v>12</v>
      </c>
      <c r="F30" s="511"/>
      <c r="G30" s="561"/>
      <c r="H30" s="562">
        <f t="shared" si="15"/>
        <v>25</v>
      </c>
      <c r="I30" s="111">
        <f t="shared" si="1"/>
        <v>25</v>
      </c>
      <c r="J30" s="545"/>
      <c r="K30" s="2">
        <f t="shared" si="6"/>
        <v>20000</v>
      </c>
      <c r="L30" s="690">
        <f t="shared" si="7"/>
        <v>3998</v>
      </c>
      <c r="M30" s="686">
        <v>13</v>
      </c>
      <c r="N30" s="655">
        <v>12</v>
      </c>
      <c r="O30" s="658">
        <f t="shared" si="8"/>
        <v>24310</v>
      </c>
      <c r="P30" s="564">
        <f t="shared" si="2"/>
        <v>25140</v>
      </c>
      <c r="Q30" s="570"/>
      <c r="R30" s="566">
        <f t="shared" si="3"/>
        <v>1248.616</v>
      </c>
      <c r="S30" s="567">
        <f t="shared" si="9"/>
        <v>74696.616000000009</v>
      </c>
      <c r="T30" s="567">
        <f t="shared" si="14"/>
        <v>74696.616000000009</v>
      </c>
      <c r="U30" s="107">
        <f t="shared" si="4"/>
        <v>65841.013218649692</v>
      </c>
      <c r="V30" s="49">
        <f t="shared" si="10"/>
        <v>595.23809500000004</v>
      </c>
      <c r="W30" s="364"/>
      <c r="X30" s="364">
        <f t="shared" si="16"/>
        <v>0</v>
      </c>
      <c r="Y30" s="364"/>
      <c r="Z30" s="364"/>
      <c r="AA30" s="210">
        <f t="shared" si="11"/>
        <v>66436.251313649685</v>
      </c>
      <c r="AB30" s="566">
        <v>595.23809500000004</v>
      </c>
      <c r="AC30" s="568">
        <f t="shared" si="13"/>
        <v>66436.251313649685</v>
      </c>
      <c r="AD30" s="488">
        <f t="shared" si="5"/>
        <v>864</v>
      </c>
      <c r="AE30" s="568">
        <f t="shared" si="12"/>
        <v>67300.251313649685</v>
      </c>
    </row>
    <row r="31" spans="1:31" ht="13.5" customHeight="1" x14ac:dyDescent="0.25">
      <c r="A31" s="508">
        <v>26</v>
      </c>
      <c r="B31" s="518" t="s">
        <v>243</v>
      </c>
      <c r="C31" s="513">
        <v>1</v>
      </c>
      <c r="D31" s="513">
        <v>2</v>
      </c>
      <c r="E31" s="574">
        <v>22</v>
      </c>
      <c r="F31" s="511"/>
      <c r="G31" s="561"/>
      <c r="H31" s="562">
        <f t="shared" si="15"/>
        <v>43</v>
      </c>
      <c r="I31" s="111">
        <f t="shared" si="1"/>
        <v>43</v>
      </c>
      <c r="J31" s="545"/>
      <c r="K31" s="2">
        <f t="shared" si="6"/>
        <v>20000</v>
      </c>
      <c r="L31" s="690">
        <f t="shared" si="7"/>
        <v>7996</v>
      </c>
      <c r="M31" s="686">
        <v>21</v>
      </c>
      <c r="N31" s="655">
        <v>22</v>
      </c>
      <c r="O31" s="658">
        <f t="shared" si="8"/>
        <v>39270</v>
      </c>
      <c r="P31" s="564">
        <f t="shared" si="2"/>
        <v>46090</v>
      </c>
      <c r="Q31" s="570"/>
      <c r="R31" s="566">
        <f t="shared" si="3"/>
        <v>1927.0520000000001</v>
      </c>
      <c r="S31" s="567">
        <f t="shared" si="9"/>
        <v>115283.052</v>
      </c>
      <c r="T31" s="567">
        <f t="shared" si="14"/>
        <v>115283.052</v>
      </c>
      <c r="U31" s="107">
        <f t="shared" si="4"/>
        <v>101615.75392676797</v>
      </c>
      <c r="V31" s="49">
        <f t="shared" si="10"/>
        <v>1023.8095234</v>
      </c>
      <c r="W31" s="364">
        <v>5000</v>
      </c>
      <c r="X31" s="364">
        <f t="shared" si="16"/>
        <v>0</v>
      </c>
      <c r="Y31" s="364"/>
      <c r="Z31" s="364"/>
      <c r="AA31" s="210">
        <f t="shared" si="11"/>
        <v>107639.56345016797</v>
      </c>
      <c r="AB31" s="566">
        <v>1023.8095234</v>
      </c>
      <c r="AC31" s="568">
        <f t="shared" si="13"/>
        <v>107639.56345016797</v>
      </c>
      <c r="AD31" s="488">
        <f t="shared" si="5"/>
        <v>1584</v>
      </c>
      <c r="AE31" s="568">
        <f t="shared" si="12"/>
        <v>109223.56345016797</v>
      </c>
    </row>
    <row r="32" spans="1:31" ht="13.5" customHeight="1" x14ac:dyDescent="0.25">
      <c r="A32" s="508">
        <v>27</v>
      </c>
      <c r="B32" s="518" t="s">
        <v>244</v>
      </c>
      <c r="C32" s="513">
        <v>1</v>
      </c>
      <c r="D32" s="513">
        <v>3</v>
      </c>
      <c r="E32" s="111">
        <v>33</v>
      </c>
      <c r="F32" s="511"/>
      <c r="G32" s="561"/>
      <c r="H32" s="562">
        <f t="shared" si="15"/>
        <v>73</v>
      </c>
      <c r="I32" s="111">
        <f t="shared" si="1"/>
        <v>73</v>
      </c>
      <c r="J32" s="545"/>
      <c r="K32" s="2">
        <f t="shared" si="6"/>
        <v>20000</v>
      </c>
      <c r="L32" s="690">
        <f t="shared" si="7"/>
        <v>11994</v>
      </c>
      <c r="M32" s="686">
        <v>40</v>
      </c>
      <c r="N32" s="654">
        <v>33</v>
      </c>
      <c r="O32" s="658">
        <f t="shared" si="8"/>
        <v>74800</v>
      </c>
      <c r="P32" s="564">
        <f t="shared" si="2"/>
        <v>69135</v>
      </c>
      <c r="Q32" s="570"/>
      <c r="R32" s="566">
        <f t="shared" si="3"/>
        <v>2990.7930000000001</v>
      </c>
      <c r="S32" s="567">
        <f t="shared" si="9"/>
        <v>178919.79300000001</v>
      </c>
      <c r="T32" s="567">
        <f t="shared" si="14"/>
        <v>178919.79300000001</v>
      </c>
      <c r="U32" s="107">
        <f t="shared" si="4"/>
        <v>157708.08755233389</v>
      </c>
      <c r="V32" s="49">
        <f t="shared" si="10"/>
        <v>1738.0952374000001</v>
      </c>
      <c r="W32" s="364"/>
      <c r="X32" s="364">
        <f t="shared" si="16"/>
        <v>0</v>
      </c>
      <c r="Y32" s="364"/>
      <c r="Z32" s="364"/>
      <c r="AA32" s="210">
        <f t="shared" si="11"/>
        <v>159446.1827897339</v>
      </c>
      <c r="AB32" s="566">
        <v>1738.0952374000001</v>
      </c>
      <c r="AC32" s="568">
        <f t="shared" si="13"/>
        <v>159446.1827897339</v>
      </c>
      <c r="AD32" s="488">
        <f t="shared" si="5"/>
        <v>2376</v>
      </c>
      <c r="AE32" s="568">
        <f t="shared" si="12"/>
        <v>161822.1827897339</v>
      </c>
    </row>
    <row r="33" spans="1:31" ht="13.5" customHeight="1" thickBot="1" x14ac:dyDescent="0.3">
      <c r="A33" s="508">
        <v>28</v>
      </c>
      <c r="B33" s="518" t="s">
        <v>245</v>
      </c>
      <c r="C33" s="575">
        <v>1</v>
      </c>
      <c r="D33" s="575">
        <v>1</v>
      </c>
      <c r="E33" s="576">
        <v>9</v>
      </c>
      <c r="F33" s="577"/>
      <c r="G33" s="561"/>
      <c r="H33" s="562">
        <f t="shared" si="15"/>
        <v>22</v>
      </c>
      <c r="I33" s="111">
        <f t="shared" si="1"/>
        <v>22</v>
      </c>
      <c r="J33" s="522"/>
      <c r="K33" s="2">
        <f t="shared" si="6"/>
        <v>20000</v>
      </c>
      <c r="L33" s="690">
        <f t="shared" si="7"/>
        <v>3998</v>
      </c>
      <c r="M33" s="127">
        <v>13</v>
      </c>
      <c r="N33" s="656">
        <v>9</v>
      </c>
      <c r="O33" s="658">
        <f t="shared" si="8"/>
        <v>24310</v>
      </c>
      <c r="P33" s="564">
        <f t="shared" si="2"/>
        <v>18855</v>
      </c>
      <c r="Q33" s="579"/>
      <c r="R33" s="566">
        <f t="shared" si="3"/>
        <v>1141.7710000000002</v>
      </c>
      <c r="S33" s="567">
        <f t="shared" si="9"/>
        <v>68304.771000000008</v>
      </c>
      <c r="T33" s="567">
        <f t="shared" si="14"/>
        <v>68304.771000000008</v>
      </c>
      <c r="U33" s="107">
        <f t="shared" si="4"/>
        <v>60206.94873657784</v>
      </c>
      <c r="V33" s="49">
        <f t="shared" si="10"/>
        <v>523.80952360000003</v>
      </c>
      <c r="W33" s="364"/>
      <c r="X33" s="364">
        <f t="shared" si="16"/>
        <v>0</v>
      </c>
      <c r="Y33" s="364"/>
      <c r="Z33" s="424"/>
      <c r="AA33" s="210">
        <f t="shared" si="11"/>
        <v>60730.758260177841</v>
      </c>
      <c r="AB33" s="566">
        <v>523.80952360000003</v>
      </c>
      <c r="AC33" s="649">
        <f t="shared" si="13"/>
        <v>60730.758260177841</v>
      </c>
      <c r="AD33" s="488">
        <f t="shared" si="5"/>
        <v>648</v>
      </c>
      <c r="AE33" s="568">
        <f t="shared" si="12"/>
        <v>61378.758260177841</v>
      </c>
    </row>
    <row r="34" spans="1:31" ht="15.75" customHeight="1" thickBot="1" x14ac:dyDescent="0.3">
      <c r="A34" s="580" t="s">
        <v>215</v>
      </c>
      <c r="B34" s="581"/>
      <c r="C34" s="582">
        <f t="shared" ref="C34:T34" si="17">SUM(C6:C33)</f>
        <v>28</v>
      </c>
      <c r="D34" s="581">
        <f t="shared" si="17"/>
        <v>125</v>
      </c>
      <c r="E34" s="583">
        <f t="shared" si="17"/>
        <v>1314</v>
      </c>
      <c r="F34" s="584">
        <f t="shared" si="17"/>
        <v>9.5</v>
      </c>
      <c r="G34" s="585">
        <f t="shared" si="17"/>
        <v>21</v>
      </c>
      <c r="H34" s="586">
        <f t="shared" si="17"/>
        <v>2876</v>
      </c>
      <c r="I34" s="586">
        <f t="shared" si="17"/>
        <v>2772</v>
      </c>
      <c r="J34" s="587">
        <f t="shared" si="17"/>
        <v>104</v>
      </c>
      <c r="K34" s="586">
        <f t="shared" si="17"/>
        <v>560000</v>
      </c>
      <c r="L34" s="587">
        <f t="shared" si="17"/>
        <v>499750</v>
      </c>
      <c r="M34" s="588">
        <f t="shared" si="17"/>
        <v>1458</v>
      </c>
      <c r="N34" s="589">
        <f t="shared" si="17"/>
        <v>1314</v>
      </c>
      <c r="O34" s="436">
        <f t="shared" si="17"/>
        <v>2726460</v>
      </c>
      <c r="P34" s="636">
        <f t="shared" si="17"/>
        <v>2752830</v>
      </c>
      <c r="Q34" s="637">
        <f t="shared" si="17"/>
        <v>121576</v>
      </c>
      <c r="R34" s="659">
        <f t="shared" si="17"/>
        <v>113230.47199999998</v>
      </c>
      <c r="S34" s="590">
        <f t="shared" si="17"/>
        <v>6773846.4720000001</v>
      </c>
      <c r="T34" s="591">
        <f t="shared" si="17"/>
        <v>6629873.8499999996</v>
      </c>
      <c r="U34" s="99">
        <f>SUM(U6:U33)</f>
        <v>5843873.9955211608</v>
      </c>
      <c r="V34" s="430">
        <f>SUM(V6:V33)</f>
        <v>65999.999973600003</v>
      </c>
      <c r="W34" s="67">
        <f t="shared" ref="W34:AE34" si="18">SUM(W6:W33)</f>
        <v>385000</v>
      </c>
      <c r="X34" s="67">
        <f t="shared" si="18"/>
        <v>152000</v>
      </c>
      <c r="Y34" s="67">
        <f t="shared" si="18"/>
        <v>88000</v>
      </c>
      <c r="Z34" s="67">
        <f t="shared" si="18"/>
        <v>95000</v>
      </c>
      <c r="AA34" s="592">
        <f t="shared" si="18"/>
        <v>6629873.9954947606</v>
      </c>
      <c r="AB34" s="103">
        <f t="shared" si="18"/>
        <v>65999.999973600003</v>
      </c>
      <c r="AC34" s="590">
        <f>SUM(AC6:AC33)</f>
        <v>6773846.6174947601</v>
      </c>
      <c r="AD34" s="389">
        <f t="shared" si="18"/>
        <v>94608</v>
      </c>
      <c r="AE34" s="590">
        <f t="shared" si="18"/>
        <v>6868454.6174947601</v>
      </c>
    </row>
    <row r="35" spans="1:31" ht="13.5" customHeight="1" thickBot="1" x14ac:dyDescent="0.3">
      <c r="A35" s="892" t="s">
        <v>216</v>
      </c>
      <c r="B35" s="893"/>
      <c r="C35" s="556"/>
      <c r="D35" s="595"/>
      <c r="E35" s="596"/>
      <c r="F35" s="597"/>
      <c r="G35" s="598"/>
      <c r="H35" s="599"/>
      <c r="I35" s="600">
        <f>I34</f>
        <v>2772</v>
      </c>
      <c r="J35" s="557"/>
      <c r="K35" s="594"/>
      <c r="L35" s="557"/>
      <c r="M35" s="687">
        <f>M34</f>
        <v>1458</v>
      </c>
      <c r="N35" s="601">
        <f>N34</f>
        <v>1314</v>
      </c>
      <c r="O35" s="660">
        <f>O34</f>
        <v>2726460</v>
      </c>
      <c r="P35" s="83"/>
      <c r="Q35" s="204"/>
      <c r="R35" s="206"/>
      <c r="S35" s="205"/>
      <c r="T35" s="205"/>
      <c r="U35" s="485"/>
      <c r="V35" s="83"/>
      <c r="W35" s="83"/>
      <c r="X35" s="83"/>
      <c r="Y35" s="83"/>
      <c r="Z35" s="83"/>
      <c r="AA35" s="205"/>
      <c r="AB35" s="206"/>
      <c r="AC35" s="602"/>
      <c r="AD35" s="82"/>
      <c r="AE35" s="205"/>
    </row>
    <row r="36" spans="1:31" ht="15.75" customHeight="1" thickBot="1" x14ac:dyDescent="0.3">
      <c r="A36" s="832" t="s">
        <v>217</v>
      </c>
      <c r="B36" s="857"/>
      <c r="C36" s="604"/>
      <c r="D36" s="605"/>
      <c r="E36" s="606">
        <f>1321-E34</f>
        <v>7</v>
      </c>
      <c r="F36" s="607"/>
      <c r="G36" s="608">
        <v>12</v>
      </c>
      <c r="H36" s="469"/>
      <c r="I36" s="469">
        <f>SUM(M36+N36)+J36</f>
        <v>0</v>
      </c>
      <c r="J36" s="132">
        <v>-2</v>
      </c>
      <c r="K36" s="609"/>
      <c r="L36" s="132"/>
      <c r="M36" s="688">
        <v>-5</v>
      </c>
      <c r="N36" s="657">
        <v>7</v>
      </c>
      <c r="O36" s="658">
        <f t="shared" ref="O36" si="19">M36*$O$5</f>
        <v>-9350</v>
      </c>
      <c r="P36" s="67">
        <f>(N36)*$P$5</f>
        <v>14665</v>
      </c>
      <c r="Q36" s="95">
        <f>J36*Q5</f>
        <v>-2338</v>
      </c>
      <c r="R36" s="566">
        <f>(SUM(O36:Q36)+K36+L36)*$R$5</f>
        <v>50.609000000000002</v>
      </c>
      <c r="S36" s="568">
        <f>SUM(O36:R36)</f>
        <v>3027.6089999999999</v>
      </c>
      <c r="T36" s="567">
        <f>SUM(O36:P36)+R36-Q36*0.017</f>
        <v>5405.3550000000005</v>
      </c>
      <c r="U36" s="610">
        <f>T36</f>
        <v>5405.3550000000005</v>
      </c>
      <c r="V36" s="414"/>
      <c r="W36" s="414"/>
      <c r="X36" s="424"/>
      <c r="Y36" s="424"/>
      <c r="Z36" s="424"/>
      <c r="AA36" s="611">
        <f>SUM(U36:X36)</f>
        <v>5405.3550000000005</v>
      </c>
      <c r="AB36" s="612">
        <f>E36*$AB$5</f>
        <v>0</v>
      </c>
      <c r="AC36" s="650">
        <f>S36</f>
        <v>3027.6089999999999</v>
      </c>
      <c r="AD36" s="652">
        <f>E36*72</f>
        <v>504</v>
      </c>
      <c r="AE36" s="613">
        <f>AC36+AD36</f>
        <v>3531.6089999999999</v>
      </c>
    </row>
    <row r="37" spans="1:31" ht="15" customHeight="1" thickBot="1" x14ac:dyDescent="0.3">
      <c r="A37" s="469" t="s">
        <v>218</v>
      </c>
      <c r="B37" s="531"/>
      <c r="C37" s="439"/>
      <c r="D37" s="198">
        <f t="shared" ref="D37:N37" si="20">D34+D36</f>
        <v>125</v>
      </c>
      <c r="E37" s="102">
        <f t="shared" si="20"/>
        <v>1321</v>
      </c>
      <c r="F37" s="430">
        <f t="shared" si="20"/>
        <v>9.5</v>
      </c>
      <c r="G37" s="439">
        <f t="shared" si="20"/>
        <v>33</v>
      </c>
      <c r="H37" s="595">
        <f t="shared" si="20"/>
        <v>2876</v>
      </c>
      <c r="I37" s="614">
        <f t="shared" si="20"/>
        <v>2772</v>
      </c>
      <c r="J37" s="615">
        <f t="shared" si="20"/>
        <v>102</v>
      </c>
      <c r="K37" s="614"/>
      <c r="L37" s="615"/>
      <c r="M37" s="603">
        <f t="shared" si="20"/>
        <v>1453</v>
      </c>
      <c r="N37" s="616">
        <f t="shared" si="20"/>
        <v>1321</v>
      </c>
      <c r="O37" s="617">
        <f>SUM(O34+O36)</f>
        <v>2717110</v>
      </c>
      <c r="P37" s="618">
        <f>SUM(P34+P36)</f>
        <v>2767495</v>
      </c>
      <c r="Q37" s="619">
        <f>SUM(Q34+Q36)</f>
        <v>119238</v>
      </c>
      <c r="R37" s="661">
        <f>SUM(R34+R36)</f>
        <v>113281.08099999998</v>
      </c>
      <c r="S37" s="620">
        <f t="shared" ref="S37:AE37" si="21">S34+S36</f>
        <v>6776874.0810000002</v>
      </c>
      <c r="T37" s="620">
        <f t="shared" si="21"/>
        <v>6635279.2050000001</v>
      </c>
      <c r="U37" s="65">
        <f t="shared" si="21"/>
        <v>5849279.3505211612</v>
      </c>
      <c r="V37" s="67">
        <f t="shared" si="21"/>
        <v>65999.999973600003</v>
      </c>
      <c r="W37" s="67">
        <f t="shared" si="21"/>
        <v>385000</v>
      </c>
      <c r="X37" s="67">
        <f t="shared" si="21"/>
        <v>152000</v>
      </c>
      <c r="Y37" s="67">
        <f t="shared" si="21"/>
        <v>88000</v>
      </c>
      <c r="Z37" s="67">
        <f t="shared" si="21"/>
        <v>95000</v>
      </c>
      <c r="AA37" s="620">
        <f t="shared" si="21"/>
        <v>6635279.350494761</v>
      </c>
      <c r="AB37" s="484">
        <f t="shared" si="21"/>
        <v>65999.999973600003</v>
      </c>
      <c r="AC37" s="620">
        <f t="shared" si="21"/>
        <v>6776874.2264947603</v>
      </c>
      <c r="AD37" s="653">
        <f t="shared" si="21"/>
        <v>95112</v>
      </c>
      <c r="AE37" s="620">
        <f t="shared" si="21"/>
        <v>6871986.2264947603</v>
      </c>
    </row>
    <row r="38" spans="1:31" ht="18.75" customHeight="1" thickBot="1" x14ac:dyDescent="0.3">
      <c r="A38" s="832" t="s">
        <v>219</v>
      </c>
      <c r="B38" s="849"/>
      <c r="C38" s="621"/>
      <c r="D38" s="527"/>
      <c r="E38" s="622"/>
      <c r="F38" s="623"/>
      <c r="G38" s="527"/>
      <c r="H38" s="527"/>
      <c r="I38" s="624">
        <f>I37</f>
        <v>2772</v>
      </c>
      <c r="J38" s="615"/>
      <c r="K38" s="614">
        <v>560000</v>
      </c>
      <c r="L38" s="615">
        <v>499750</v>
      </c>
      <c r="M38" s="689">
        <f>M37</f>
        <v>1453</v>
      </c>
      <c r="N38" s="625">
        <f>N37</f>
        <v>1321</v>
      </c>
      <c r="O38" s="662">
        <v>2717110</v>
      </c>
      <c r="P38" s="626">
        <v>2767495</v>
      </c>
      <c r="Q38" s="627">
        <v>119238</v>
      </c>
      <c r="R38" s="627">
        <v>113281</v>
      </c>
      <c r="S38" s="628">
        <f>K38+L38+O38+P38+Q38+R38</f>
        <v>6776874</v>
      </c>
      <c r="T38" s="628">
        <f>S38-Q38-Q38*0.017-L38/125*5*0.017-L38/125*5</f>
        <v>6635279.1239999998</v>
      </c>
      <c r="U38" s="65"/>
      <c r="V38" s="430"/>
      <c r="W38" s="430"/>
      <c r="X38" s="67"/>
      <c r="Y38" s="67"/>
      <c r="Z38" s="67"/>
      <c r="AA38" s="435">
        <v>6635279</v>
      </c>
      <c r="AB38" s="629"/>
      <c r="AC38" s="435">
        <f>S38</f>
        <v>6776874</v>
      </c>
      <c r="AD38" s="82"/>
      <c r="AE38" s="593">
        <f>6883833-11847</f>
        <v>6871986</v>
      </c>
    </row>
    <row r="39" spans="1:31" ht="12.75" customHeight="1" x14ac:dyDescent="0.25">
      <c r="A39" s="858"/>
      <c r="B39" s="858"/>
      <c r="C39" s="858"/>
      <c r="D39" s="858"/>
      <c r="E39" s="858"/>
      <c r="F39" s="858"/>
      <c r="G39" s="858"/>
      <c r="H39" s="858"/>
      <c r="I39" s="858"/>
      <c r="J39" s="858"/>
      <c r="K39" s="630"/>
      <c r="L39" s="630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31"/>
      <c r="Y39" s="604"/>
      <c r="Z39" s="604"/>
      <c r="AA39" s="604"/>
      <c r="AB39" s="604"/>
      <c r="AC39" s="604"/>
      <c r="AD39" s="604"/>
      <c r="AE39" s="604"/>
    </row>
    <row r="40" spans="1:31" x14ac:dyDescent="0.25">
      <c r="A40" s="859"/>
      <c r="B40" s="859"/>
      <c r="C40" s="632"/>
    </row>
    <row r="41" spans="1:31" x14ac:dyDescent="0.25">
      <c r="A41" s="894"/>
      <c r="B41" s="859"/>
      <c r="C41" s="632"/>
    </row>
    <row r="42" spans="1:31" x14ac:dyDescent="0.25">
      <c r="B42" s="633"/>
    </row>
    <row r="43" spans="1:31" x14ac:dyDescent="0.25">
      <c r="AC43" s="634"/>
    </row>
  </sheetData>
  <mergeCells count="32">
    <mergeCell ref="A41:B41"/>
    <mergeCell ref="A3:A4"/>
    <mergeCell ref="B3:B4"/>
    <mergeCell ref="A5:B5"/>
    <mergeCell ref="J3:J4"/>
    <mergeCell ref="A2:N2"/>
    <mergeCell ref="C3:C4"/>
    <mergeCell ref="D3:D4"/>
    <mergeCell ref="A35:B35"/>
    <mergeCell ref="AE3:AE4"/>
    <mergeCell ref="R3:R4"/>
    <mergeCell ref="S3:S4"/>
    <mergeCell ref="T3:T4"/>
    <mergeCell ref="U3:Z3"/>
    <mergeCell ref="AA3:AA4"/>
    <mergeCell ref="AB3:AB4"/>
    <mergeCell ref="A36:B36"/>
    <mergeCell ref="A38:B38"/>
    <mergeCell ref="A39:J39"/>
    <mergeCell ref="A40:B40"/>
    <mergeCell ref="AC3:AC4"/>
    <mergeCell ref="K3:K4"/>
    <mergeCell ref="L3:L4"/>
    <mergeCell ref="M3:N3"/>
    <mergeCell ref="O3:O4"/>
    <mergeCell ref="P3:P4"/>
    <mergeCell ref="Q3:Q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75" zoomScaleNormal="75" workbookViewId="0">
      <selection activeCell="B3" sqref="B3:B5"/>
    </sheetView>
  </sheetViews>
  <sheetFormatPr defaultRowHeight="15" x14ac:dyDescent="0.25"/>
  <cols>
    <col min="1" max="1" width="4.5703125" customWidth="1"/>
    <col min="2" max="2" width="20.7109375" customWidth="1"/>
    <col min="3" max="3" width="8" customWidth="1"/>
    <col min="4" max="4" width="8.140625" customWidth="1"/>
    <col min="5" max="5" width="7.5703125" customWidth="1"/>
    <col min="6" max="6" width="7.85546875" customWidth="1"/>
    <col min="7" max="7" width="9.140625" customWidth="1"/>
  </cols>
  <sheetData>
    <row r="1" spans="1:12" ht="36.75" customHeight="1" x14ac:dyDescent="0.25">
      <c r="A1" s="897" t="s">
        <v>251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</row>
    <row r="2" spans="1:12" ht="15.75" thickBot="1" x14ac:dyDescent="0.3"/>
    <row r="3" spans="1:12" ht="15" customHeight="1" thickBot="1" x14ac:dyDescent="0.3">
      <c r="A3" s="882" t="s">
        <v>0</v>
      </c>
      <c r="B3" s="903" t="s">
        <v>151</v>
      </c>
      <c r="C3" s="798" t="s">
        <v>277</v>
      </c>
      <c r="D3" s="742"/>
      <c r="E3" s="742"/>
      <c r="F3" s="742"/>
      <c r="G3" s="739" t="s">
        <v>252</v>
      </c>
      <c r="H3" s="740"/>
      <c r="I3" s="740"/>
      <c r="J3" s="740"/>
      <c r="K3" s="740"/>
      <c r="L3" s="741"/>
    </row>
    <row r="4" spans="1:12" ht="15" customHeight="1" x14ac:dyDescent="0.25">
      <c r="A4" s="902"/>
      <c r="B4" s="904"/>
      <c r="C4" s="906" t="s">
        <v>253</v>
      </c>
      <c r="D4" s="908" t="s">
        <v>177</v>
      </c>
      <c r="E4" s="784" t="s">
        <v>158</v>
      </c>
      <c r="F4" s="910"/>
      <c r="G4" s="882" t="s">
        <v>254</v>
      </c>
      <c r="H4" s="900" t="s">
        <v>255</v>
      </c>
      <c r="I4" s="900" t="s">
        <v>256</v>
      </c>
      <c r="J4" s="900" t="s">
        <v>257</v>
      </c>
      <c r="K4" s="900" t="s">
        <v>258</v>
      </c>
      <c r="L4" s="764" t="s">
        <v>259</v>
      </c>
    </row>
    <row r="5" spans="1:12" ht="66" customHeight="1" x14ac:dyDescent="0.25">
      <c r="A5" s="883"/>
      <c r="B5" s="905"/>
      <c r="C5" s="907"/>
      <c r="D5" s="909"/>
      <c r="E5" s="693" t="s">
        <v>276</v>
      </c>
      <c r="F5" s="548" t="s">
        <v>193</v>
      </c>
      <c r="G5" s="907"/>
      <c r="H5" s="901"/>
      <c r="I5" s="901"/>
      <c r="J5" s="901"/>
      <c r="K5" s="901"/>
      <c r="L5" s="765"/>
    </row>
    <row r="6" spans="1:12" s="734" customFormat="1" x14ac:dyDescent="0.25">
      <c r="A6" s="727"/>
      <c r="B6" s="728"/>
      <c r="C6" s="729"/>
      <c r="D6" s="730"/>
      <c r="E6" s="731"/>
      <c r="F6" s="732"/>
      <c r="G6" s="733">
        <v>0.4647</v>
      </c>
      <c r="H6" s="735">
        <v>0.32579999999999998</v>
      </c>
      <c r="I6" s="735">
        <v>1.2699999999999999E-2</v>
      </c>
      <c r="J6" s="735">
        <v>1.12E-2</v>
      </c>
      <c r="K6" s="735">
        <v>0.18559999999999999</v>
      </c>
      <c r="L6" s="736">
        <f>SUM(G6:K6)</f>
        <v>1</v>
      </c>
    </row>
    <row r="7" spans="1:12" x14ac:dyDescent="0.25">
      <c r="A7" s="635"/>
      <c r="B7" s="721"/>
      <c r="C7" s="498"/>
      <c r="D7" s="694">
        <v>720</v>
      </c>
      <c r="E7" s="695">
        <v>720</v>
      </c>
      <c r="F7" s="696">
        <v>495</v>
      </c>
      <c r="G7" s="25">
        <v>320</v>
      </c>
      <c r="H7" s="697"/>
      <c r="I7" s="558"/>
      <c r="J7" s="698"/>
      <c r="K7" s="559"/>
      <c r="L7" s="699"/>
    </row>
    <row r="8" spans="1:12" x14ac:dyDescent="0.25">
      <c r="A8" s="700">
        <v>1</v>
      </c>
      <c r="B8" s="475" t="s">
        <v>201</v>
      </c>
      <c r="C8" s="563">
        <f>SUM(E8:F8)+D8</f>
        <v>137</v>
      </c>
      <c r="D8" s="686">
        <v>21</v>
      </c>
      <c r="E8" s="686">
        <f>137-F8-D8</f>
        <v>65</v>
      </c>
      <c r="F8" s="112">
        <v>51</v>
      </c>
      <c r="G8" s="725">
        <f t="shared" ref="G8:G35" si="0">(C8)*$G$7-F8*72</f>
        <v>40168</v>
      </c>
      <c r="H8" s="702">
        <f>8800+3600+24800+367</f>
        <v>37567</v>
      </c>
      <c r="I8" s="701">
        <f>500+500</f>
        <v>1000</v>
      </c>
      <c r="J8" s="701"/>
      <c r="K8" s="701">
        <v>17170.844768680334</v>
      </c>
      <c r="L8" s="210">
        <f>SUM(G8:K8)</f>
        <v>95905.844768680341</v>
      </c>
    </row>
    <row r="9" spans="1:12" x14ac:dyDescent="0.25">
      <c r="A9" s="700">
        <v>2</v>
      </c>
      <c r="B9" s="722" t="s">
        <v>202</v>
      </c>
      <c r="C9" s="563">
        <f>SUM(E9:F9)+D9</f>
        <v>322</v>
      </c>
      <c r="D9" s="686">
        <v>44</v>
      </c>
      <c r="E9" s="686">
        <f>322-F9-D9</f>
        <v>132</v>
      </c>
      <c r="F9" s="112">
        <v>146</v>
      </c>
      <c r="G9" s="725">
        <f t="shared" si="0"/>
        <v>92528</v>
      </c>
      <c r="H9" s="702">
        <f>19900+6400+18950+367</f>
        <v>45617</v>
      </c>
      <c r="I9" s="701">
        <f t="shared" ref="I9:I24" si="1">500+500</f>
        <v>1000</v>
      </c>
      <c r="J9" s="701"/>
      <c r="K9" s="701">
        <v>33935.954184230657</v>
      </c>
      <c r="L9" s="210">
        <f t="shared" ref="L9:L35" si="2">SUM(G9:K9)</f>
        <v>173080.95418423065</v>
      </c>
    </row>
    <row r="10" spans="1:12" x14ac:dyDescent="0.25">
      <c r="A10" s="700">
        <v>3</v>
      </c>
      <c r="B10" s="475" t="s">
        <v>203</v>
      </c>
      <c r="C10" s="563">
        <f>SUM(E10:F10)+D10</f>
        <v>102</v>
      </c>
      <c r="D10" s="686">
        <v>14</v>
      </c>
      <c r="E10" s="686">
        <f>102-F10-D10</f>
        <v>42</v>
      </c>
      <c r="F10" s="112">
        <v>46</v>
      </c>
      <c r="G10" s="725">
        <f t="shared" si="0"/>
        <v>29328</v>
      </c>
      <c r="H10" s="702">
        <f>8900+4500+20510+368</f>
        <v>34278</v>
      </c>
      <c r="I10" s="701">
        <f t="shared" si="1"/>
        <v>1000</v>
      </c>
      <c r="J10" s="701"/>
      <c r="K10" s="701">
        <v>7346.7114992274337</v>
      </c>
      <c r="L10" s="210">
        <f t="shared" si="2"/>
        <v>71952.711499227429</v>
      </c>
    </row>
    <row r="11" spans="1:12" x14ac:dyDescent="0.25">
      <c r="A11" s="703">
        <v>4</v>
      </c>
      <c r="B11" s="723" t="s">
        <v>204</v>
      </c>
      <c r="C11" s="578">
        <f>SUM(E11:F11)+D11</f>
        <v>125</v>
      </c>
      <c r="D11" s="724">
        <v>25</v>
      </c>
      <c r="E11" s="724">
        <f>125-F11-D11</f>
        <v>56</v>
      </c>
      <c r="F11" s="704">
        <v>44</v>
      </c>
      <c r="G11" s="725">
        <f t="shared" si="0"/>
        <v>36832</v>
      </c>
      <c r="H11" s="702">
        <f>8600+1500+11000+367</f>
        <v>21467</v>
      </c>
      <c r="I11" s="701">
        <f t="shared" si="1"/>
        <v>1000</v>
      </c>
      <c r="J11" s="701"/>
      <c r="K11" s="701">
        <v>8474.0072399903984</v>
      </c>
      <c r="L11" s="210">
        <f t="shared" si="2"/>
        <v>67773.007239990402</v>
      </c>
    </row>
    <row r="12" spans="1:12" x14ac:dyDescent="0.25">
      <c r="A12" s="700">
        <v>5</v>
      </c>
      <c r="B12" s="512" t="s">
        <v>260</v>
      </c>
      <c r="C12" s="563">
        <f t="shared" ref="C12:C35" si="3">SUM(E12:F12)</f>
        <v>113</v>
      </c>
      <c r="D12" s="686"/>
      <c r="E12" s="686">
        <f>113-F12</f>
        <v>74</v>
      </c>
      <c r="F12" s="125">
        <v>39</v>
      </c>
      <c r="G12" s="725">
        <f t="shared" si="0"/>
        <v>33352</v>
      </c>
      <c r="H12" s="702">
        <f>10000+1900+7600+367</f>
        <v>19867</v>
      </c>
      <c r="I12" s="701">
        <f t="shared" si="1"/>
        <v>1000</v>
      </c>
      <c r="J12" s="701"/>
      <c r="K12" s="701">
        <v>45545.386532230237</v>
      </c>
      <c r="L12" s="210">
        <f t="shared" si="2"/>
        <v>99764.386532230244</v>
      </c>
    </row>
    <row r="13" spans="1:12" x14ac:dyDescent="0.25">
      <c r="A13" s="700">
        <v>6</v>
      </c>
      <c r="B13" s="475" t="s">
        <v>261</v>
      </c>
      <c r="C13" s="563">
        <f t="shared" si="3"/>
        <v>183</v>
      </c>
      <c r="D13" s="686"/>
      <c r="E13" s="686">
        <f>183-F13</f>
        <v>94</v>
      </c>
      <c r="F13" s="112">
        <v>89</v>
      </c>
      <c r="G13" s="725">
        <f t="shared" si="0"/>
        <v>52152</v>
      </c>
      <c r="H13" s="702">
        <f>8790+4131+19200+367</f>
        <v>32488</v>
      </c>
      <c r="I13" s="701">
        <f t="shared" si="1"/>
        <v>1000</v>
      </c>
      <c r="J13" s="701"/>
      <c r="K13" s="701">
        <v>19160.458063935432</v>
      </c>
      <c r="L13" s="210">
        <f t="shared" si="2"/>
        <v>104800.45806393542</v>
      </c>
    </row>
    <row r="14" spans="1:12" x14ac:dyDescent="0.25">
      <c r="A14" s="700">
        <v>7</v>
      </c>
      <c r="B14" s="722" t="s">
        <v>262</v>
      </c>
      <c r="C14" s="563">
        <f t="shared" si="3"/>
        <v>114</v>
      </c>
      <c r="D14" s="686"/>
      <c r="E14" s="686">
        <f>114-F14</f>
        <v>65</v>
      </c>
      <c r="F14" s="112">
        <v>49</v>
      </c>
      <c r="G14" s="725">
        <f t="shared" si="0"/>
        <v>32952</v>
      </c>
      <c r="H14" s="702">
        <f>6000+2200+7050+367</f>
        <v>15617</v>
      </c>
      <c r="I14" s="701">
        <f t="shared" si="1"/>
        <v>1000</v>
      </c>
      <c r="J14" s="701"/>
      <c r="K14" s="701">
        <v>12200.599494081996</v>
      </c>
      <c r="L14" s="210">
        <f t="shared" si="2"/>
        <v>61769.599494081995</v>
      </c>
    </row>
    <row r="15" spans="1:12" x14ac:dyDescent="0.25">
      <c r="A15" s="703">
        <v>8</v>
      </c>
      <c r="B15" s="475" t="s">
        <v>263</v>
      </c>
      <c r="C15" s="563">
        <f t="shared" si="3"/>
        <v>137</v>
      </c>
      <c r="D15" s="686"/>
      <c r="E15" s="686">
        <f>137-F15</f>
        <v>70</v>
      </c>
      <c r="F15" s="112">
        <v>67</v>
      </c>
      <c r="G15" s="725">
        <f t="shared" si="0"/>
        <v>39016</v>
      </c>
      <c r="H15" s="702">
        <f>9500+2600+160+6500+368</f>
        <v>19128</v>
      </c>
      <c r="I15" s="701">
        <f t="shared" si="1"/>
        <v>1000</v>
      </c>
      <c r="J15" s="701"/>
      <c r="K15" s="701">
        <v>14919.806573558752</v>
      </c>
      <c r="L15" s="210">
        <f t="shared" si="2"/>
        <v>74063.806573558744</v>
      </c>
    </row>
    <row r="16" spans="1:12" x14ac:dyDescent="0.25">
      <c r="A16" s="700">
        <v>9</v>
      </c>
      <c r="B16" s="475" t="s">
        <v>264</v>
      </c>
      <c r="C16" s="563">
        <f t="shared" si="3"/>
        <v>101</v>
      </c>
      <c r="D16" s="686"/>
      <c r="E16" s="686">
        <f>101-F16</f>
        <v>50</v>
      </c>
      <c r="F16" s="112">
        <v>51</v>
      </c>
      <c r="G16" s="725">
        <f t="shared" si="0"/>
        <v>28648</v>
      </c>
      <c r="H16" s="702">
        <f>6600+2400+13000+367</f>
        <v>22367</v>
      </c>
      <c r="I16" s="701">
        <f t="shared" si="1"/>
        <v>1000</v>
      </c>
      <c r="J16" s="701"/>
      <c r="K16" s="701">
        <v>9670.6707538890805</v>
      </c>
      <c r="L16" s="210">
        <f t="shared" si="2"/>
        <v>61685.670753889077</v>
      </c>
    </row>
    <row r="17" spans="1:12" x14ac:dyDescent="0.25">
      <c r="A17" s="700">
        <v>10</v>
      </c>
      <c r="B17" s="475" t="s">
        <v>265</v>
      </c>
      <c r="C17" s="563">
        <f t="shared" si="3"/>
        <v>138</v>
      </c>
      <c r="D17" s="686"/>
      <c r="E17" s="686">
        <f>138-F17</f>
        <v>77</v>
      </c>
      <c r="F17" s="112">
        <v>61</v>
      </c>
      <c r="G17" s="725">
        <f t="shared" si="0"/>
        <v>39768</v>
      </c>
      <c r="H17" s="702">
        <f>6700+2400+12400+367</f>
        <v>21867</v>
      </c>
      <c r="I17" s="701">
        <f t="shared" si="1"/>
        <v>1000</v>
      </c>
      <c r="J17" s="701"/>
      <c r="K17" s="701">
        <v>7030.794851937414</v>
      </c>
      <c r="L17" s="210">
        <f t="shared" si="2"/>
        <v>69665.794851937419</v>
      </c>
    </row>
    <row r="18" spans="1:12" x14ac:dyDescent="0.25">
      <c r="A18" s="703">
        <v>11</v>
      </c>
      <c r="B18" s="722" t="s">
        <v>266</v>
      </c>
      <c r="C18" s="563">
        <f t="shared" si="3"/>
        <v>17</v>
      </c>
      <c r="D18" s="686"/>
      <c r="E18" s="686">
        <f>17-F18</f>
        <v>11</v>
      </c>
      <c r="F18" s="112">
        <v>6</v>
      </c>
      <c r="G18" s="725">
        <f t="shared" si="0"/>
        <v>5008</v>
      </c>
      <c r="H18" s="702">
        <f>4400+650+368</f>
        <v>5418</v>
      </c>
      <c r="I18" s="701">
        <f t="shared" si="1"/>
        <v>1000</v>
      </c>
      <c r="J18" s="701"/>
      <c r="K18" s="701">
        <v>3696.3903594305511</v>
      </c>
      <c r="L18" s="210">
        <f t="shared" si="2"/>
        <v>15122.390359430552</v>
      </c>
    </row>
    <row r="19" spans="1:12" x14ac:dyDescent="0.25">
      <c r="A19" s="700">
        <v>12</v>
      </c>
      <c r="B19" s="475" t="s">
        <v>267</v>
      </c>
      <c r="C19" s="563">
        <f t="shared" si="3"/>
        <v>213</v>
      </c>
      <c r="D19" s="686"/>
      <c r="E19" s="686">
        <f>213-F19</f>
        <v>100</v>
      </c>
      <c r="F19" s="112">
        <v>113</v>
      </c>
      <c r="G19" s="725">
        <f t="shared" si="0"/>
        <v>60024</v>
      </c>
      <c r="H19" s="702">
        <f>30284+4000+8300/8*12+367</f>
        <v>47101</v>
      </c>
      <c r="I19" s="701">
        <f t="shared" si="1"/>
        <v>1000</v>
      </c>
      <c r="J19" s="701"/>
      <c r="K19" s="701">
        <v>10833.399129551011</v>
      </c>
      <c r="L19" s="210">
        <f t="shared" si="2"/>
        <v>118958.39912955101</v>
      </c>
    </row>
    <row r="20" spans="1:12" x14ac:dyDescent="0.25">
      <c r="A20" s="700">
        <v>13</v>
      </c>
      <c r="B20" s="475" t="s">
        <v>268</v>
      </c>
      <c r="C20" s="563">
        <f t="shared" si="3"/>
        <v>119</v>
      </c>
      <c r="D20" s="686"/>
      <c r="E20" s="686">
        <v>59</v>
      </c>
      <c r="F20" s="112">
        <v>60</v>
      </c>
      <c r="G20" s="725">
        <f t="shared" si="0"/>
        <v>33760</v>
      </c>
      <c r="H20" s="702">
        <f>16500+2560+10000+368</f>
        <v>29428</v>
      </c>
      <c r="I20" s="701">
        <f t="shared" si="1"/>
        <v>1000</v>
      </c>
      <c r="J20" s="701"/>
      <c r="K20" s="701">
        <v>11984.565780591349</v>
      </c>
      <c r="L20" s="210">
        <f t="shared" si="2"/>
        <v>76172.565780591351</v>
      </c>
    </row>
    <row r="21" spans="1:12" x14ac:dyDescent="0.25">
      <c r="A21" s="700">
        <v>14</v>
      </c>
      <c r="B21" s="475" t="s">
        <v>269</v>
      </c>
      <c r="C21" s="563">
        <f t="shared" si="3"/>
        <v>307</v>
      </c>
      <c r="D21" s="686"/>
      <c r="E21" s="686">
        <f>307-F21</f>
        <v>156</v>
      </c>
      <c r="F21" s="112">
        <v>151</v>
      </c>
      <c r="G21" s="725">
        <f t="shared" si="0"/>
        <v>87368</v>
      </c>
      <c r="H21" s="702">
        <f>28000+5900+40+22830+368</f>
        <v>57138</v>
      </c>
      <c r="I21" s="701">
        <f t="shared" si="1"/>
        <v>1000</v>
      </c>
      <c r="J21" s="701"/>
      <c r="K21" s="701">
        <v>31919.977914372717</v>
      </c>
      <c r="L21" s="210">
        <f t="shared" si="2"/>
        <v>177425.97791437272</v>
      </c>
    </row>
    <row r="22" spans="1:12" x14ac:dyDescent="0.25">
      <c r="A22" s="700">
        <v>15</v>
      </c>
      <c r="B22" s="722" t="s">
        <v>270</v>
      </c>
      <c r="C22" s="563">
        <f t="shared" si="3"/>
        <v>150</v>
      </c>
      <c r="D22" s="686"/>
      <c r="E22" s="686">
        <f>150-F22</f>
        <v>82</v>
      </c>
      <c r="F22" s="112">
        <v>68</v>
      </c>
      <c r="G22" s="725">
        <f t="shared" si="0"/>
        <v>43104</v>
      </c>
      <c r="H22" s="702">
        <f>21000+3200+3160/8*12+368</f>
        <v>29308</v>
      </c>
      <c r="I22" s="701">
        <f t="shared" si="1"/>
        <v>1000</v>
      </c>
      <c r="J22" s="701"/>
      <c r="K22" s="701">
        <v>16574.64357720406</v>
      </c>
      <c r="L22" s="210">
        <f t="shared" si="2"/>
        <v>89986.643577204057</v>
      </c>
    </row>
    <row r="23" spans="1:12" x14ac:dyDescent="0.25">
      <c r="A23" s="700">
        <v>16</v>
      </c>
      <c r="B23" s="512" t="s">
        <v>271</v>
      </c>
      <c r="C23" s="563">
        <f t="shared" si="3"/>
        <v>172</v>
      </c>
      <c r="D23" s="686"/>
      <c r="E23" s="686">
        <f>172-F23</f>
        <v>98</v>
      </c>
      <c r="F23" s="112">
        <v>74</v>
      </c>
      <c r="G23" s="725">
        <f t="shared" si="0"/>
        <v>49712</v>
      </c>
      <c r="H23" s="702">
        <f>16300+5800+20000+368</f>
        <v>42468</v>
      </c>
      <c r="I23" s="701">
        <f t="shared" si="1"/>
        <v>1000</v>
      </c>
      <c r="J23" s="701"/>
      <c r="K23" s="701">
        <v>8964.208045183841</v>
      </c>
      <c r="L23" s="210">
        <f t="shared" si="2"/>
        <v>102144.20804518384</v>
      </c>
    </row>
    <row r="24" spans="1:12" x14ac:dyDescent="0.25">
      <c r="A24" s="700">
        <v>17</v>
      </c>
      <c r="B24" s="475" t="s">
        <v>272</v>
      </c>
      <c r="C24" s="563">
        <f t="shared" si="3"/>
        <v>132</v>
      </c>
      <c r="D24" s="686"/>
      <c r="E24" s="686">
        <f>132-F24</f>
        <v>68</v>
      </c>
      <c r="F24" s="112">
        <v>64</v>
      </c>
      <c r="G24" s="725">
        <f t="shared" si="0"/>
        <v>37632</v>
      </c>
      <c r="H24" s="702">
        <f>12000+5400+20600+368</f>
        <v>38368</v>
      </c>
      <c r="I24" s="701">
        <f t="shared" si="1"/>
        <v>1000</v>
      </c>
      <c r="J24" s="701"/>
      <c r="K24" s="701">
        <v>19998.87925473665</v>
      </c>
      <c r="L24" s="210">
        <f t="shared" si="2"/>
        <v>96998.879254736647</v>
      </c>
    </row>
    <row r="25" spans="1:12" x14ac:dyDescent="0.25">
      <c r="A25" s="700">
        <v>18</v>
      </c>
      <c r="B25" s="475" t="s">
        <v>205</v>
      </c>
      <c r="C25" s="563">
        <f t="shared" si="3"/>
        <v>12</v>
      </c>
      <c r="D25" s="686"/>
      <c r="E25" s="686">
        <f>12-F25</f>
        <v>9</v>
      </c>
      <c r="F25" s="705">
        <v>3</v>
      </c>
      <c r="G25" s="725">
        <f t="shared" si="0"/>
        <v>3624</v>
      </c>
      <c r="H25" s="702">
        <f>1400+170+400+368</f>
        <v>2338</v>
      </c>
      <c r="I25" s="701">
        <v>500</v>
      </c>
      <c r="J25" s="701"/>
      <c r="K25" s="701">
        <v>2301.6221891360765</v>
      </c>
      <c r="L25" s="210">
        <f t="shared" si="2"/>
        <v>8763.6221891360765</v>
      </c>
    </row>
    <row r="26" spans="1:12" x14ac:dyDescent="0.25">
      <c r="A26" s="700">
        <v>19</v>
      </c>
      <c r="B26" s="475" t="s">
        <v>273</v>
      </c>
      <c r="C26" s="563">
        <f t="shared" si="3"/>
        <v>15</v>
      </c>
      <c r="D26" s="127"/>
      <c r="E26" s="686">
        <f>15-F26</f>
        <v>10</v>
      </c>
      <c r="F26" s="705">
        <v>5</v>
      </c>
      <c r="G26" s="725">
        <f t="shared" si="0"/>
        <v>4440</v>
      </c>
      <c r="H26" s="702">
        <f>1500+220+300+368</f>
        <v>2388</v>
      </c>
      <c r="I26" s="701">
        <v>500</v>
      </c>
      <c r="J26" s="701"/>
      <c r="K26" s="701">
        <v>2430.0365956106266</v>
      </c>
      <c r="L26" s="210">
        <f t="shared" si="2"/>
        <v>9758.036595610627</v>
      </c>
    </row>
    <row r="27" spans="1:12" x14ac:dyDescent="0.25">
      <c r="A27" s="700">
        <v>20</v>
      </c>
      <c r="B27" s="512" t="s">
        <v>207</v>
      </c>
      <c r="C27" s="563">
        <f t="shared" si="3"/>
        <v>13</v>
      </c>
      <c r="D27" s="686"/>
      <c r="E27" s="686">
        <f>13-F27</f>
        <v>6</v>
      </c>
      <c r="F27" s="705">
        <v>7</v>
      </c>
      <c r="G27" s="725">
        <f t="shared" si="0"/>
        <v>3656</v>
      </c>
      <c r="H27" s="702">
        <f>6100+400+9000+368</f>
        <v>15868</v>
      </c>
      <c r="I27" s="701">
        <v>500</v>
      </c>
      <c r="J27" s="701"/>
      <c r="K27" s="701">
        <v>5608.5770315476811</v>
      </c>
      <c r="L27" s="210">
        <f t="shared" si="2"/>
        <v>25632.57703154768</v>
      </c>
    </row>
    <row r="28" spans="1:12" x14ac:dyDescent="0.25">
      <c r="A28" s="703">
        <v>21</v>
      </c>
      <c r="B28" s="512" t="s">
        <v>208</v>
      </c>
      <c r="C28" s="563">
        <f t="shared" si="3"/>
        <v>17</v>
      </c>
      <c r="D28" s="686"/>
      <c r="E28" s="686">
        <f>17-F28</f>
        <v>8</v>
      </c>
      <c r="F28" s="705">
        <v>9</v>
      </c>
      <c r="G28" s="725">
        <f t="shared" si="0"/>
        <v>4792</v>
      </c>
      <c r="H28" s="702">
        <f>1300+420+300+368</f>
        <v>2388</v>
      </c>
      <c r="I28" s="701">
        <v>500</v>
      </c>
      <c r="J28" s="701"/>
      <c r="K28" s="701">
        <v>2290.3211397968826</v>
      </c>
      <c r="L28" s="210">
        <f t="shared" si="2"/>
        <v>9970.3211397968826</v>
      </c>
    </row>
    <row r="29" spans="1:12" x14ac:dyDescent="0.25">
      <c r="A29" s="700">
        <v>22</v>
      </c>
      <c r="B29" s="475" t="s">
        <v>209</v>
      </c>
      <c r="C29" s="563">
        <f t="shared" si="3"/>
        <v>23</v>
      </c>
      <c r="D29" s="686"/>
      <c r="E29" s="686">
        <f>23-F29</f>
        <v>11</v>
      </c>
      <c r="F29" s="705">
        <v>12</v>
      </c>
      <c r="G29" s="725">
        <f t="shared" si="0"/>
        <v>6496</v>
      </c>
      <c r="H29" s="702">
        <f>2000+400+200+368</f>
        <v>2968</v>
      </c>
      <c r="I29" s="701">
        <v>500</v>
      </c>
      <c r="J29" s="701"/>
      <c r="K29" s="701">
        <v>5839.2103478795689</v>
      </c>
      <c r="L29" s="210">
        <f t="shared" si="2"/>
        <v>15803.210347879569</v>
      </c>
    </row>
    <row r="30" spans="1:12" x14ac:dyDescent="0.25">
      <c r="A30" s="700">
        <v>23</v>
      </c>
      <c r="B30" s="722" t="s">
        <v>210</v>
      </c>
      <c r="C30" s="563">
        <f t="shared" si="3"/>
        <v>34</v>
      </c>
      <c r="D30" s="686"/>
      <c r="E30" s="686">
        <f>34-F30</f>
        <v>19</v>
      </c>
      <c r="F30" s="705">
        <v>15</v>
      </c>
      <c r="G30" s="725">
        <f t="shared" si="0"/>
        <v>9800</v>
      </c>
      <c r="H30" s="702">
        <f>5000+370+400+368</f>
        <v>6138</v>
      </c>
      <c r="I30" s="701">
        <v>500</v>
      </c>
      <c r="J30" s="701"/>
      <c r="K30" s="701">
        <v>11433.315143037156</v>
      </c>
      <c r="L30" s="210">
        <f t="shared" si="2"/>
        <v>27871.315143037158</v>
      </c>
    </row>
    <row r="31" spans="1:12" x14ac:dyDescent="0.25">
      <c r="A31" s="700">
        <v>24</v>
      </c>
      <c r="B31" s="475" t="s">
        <v>211</v>
      </c>
      <c r="C31" s="563">
        <f t="shared" si="3"/>
        <v>17</v>
      </c>
      <c r="D31" s="686"/>
      <c r="E31" s="686">
        <f>17-F31</f>
        <v>9</v>
      </c>
      <c r="F31" s="705">
        <v>8</v>
      </c>
      <c r="G31" s="725">
        <f t="shared" si="0"/>
        <v>4864</v>
      </c>
      <c r="H31" s="702">
        <f>1800+310+540+368</f>
        <v>3018</v>
      </c>
      <c r="I31" s="701">
        <v>500</v>
      </c>
      <c r="J31" s="701"/>
      <c r="K31" s="701">
        <v>1931.9113387137904</v>
      </c>
      <c r="L31" s="210">
        <f t="shared" si="2"/>
        <v>10313.911338713791</v>
      </c>
    </row>
    <row r="32" spans="1:12" x14ac:dyDescent="0.25">
      <c r="A32" s="703">
        <v>25</v>
      </c>
      <c r="B32" s="475" t="s">
        <v>212</v>
      </c>
      <c r="C32" s="563">
        <f t="shared" si="3"/>
        <v>25</v>
      </c>
      <c r="D32" s="686"/>
      <c r="E32" s="686">
        <f>25-F32</f>
        <v>13</v>
      </c>
      <c r="F32" s="705">
        <v>12</v>
      </c>
      <c r="G32" s="725">
        <f t="shared" si="0"/>
        <v>7136</v>
      </c>
      <c r="H32" s="702">
        <f>4000+500+1400+368</f>
        <v>6268</v>
      </c>
      <c r="I32" s="701">
        <v>500</v>
      </c>
      <c r="J32" s="701"/>
      <c r="K32" s="701">
        <v>5399.2883920133208</v>
      </c>
      <c r="L32" s="210">
        <f t="shared" si="2"/>
        <v>19303.288392013321</v>
      </c>
    </row>
    <row r="33" spans="1:12" x14ac:dyDescent="0.25">
      <c r="A33" s="700">
        <v>26</v>
      </c>
      <c r="B33" s="475" t="s">
        <v>213</v>
      </c>
      <c r="C33" s="563">
        <f t="shared" si="3"/>
        <v>43</v>
      </c>
      <c r="D33" s="686"/>
      <c r="E33" s="686">
        <f>43-F33</f>
        <v>21</v>
      </c>
      <c r="F33" s="705">
        <v>22</v>
      </c>
      <c r="G33" s="725">
        <f t="shared" si="0"/>
        <v>12176</v>
      </c>
      <c r="H33" s="702">
        <f>2200+460+800+368</f>
        <v>3828</v>
      </c>
      <c r="I33" s="701">
        <v>500</v>
      </c>
      <c r="J33" s="701"/>
      <c r="K33" s="701">
        <v>4942.3999564963015</v>
      </c>
      <c r="L33" s="210">
        <f t="shared" si="2"/>
        <v>21446.399956496301</v>
      </c>
    </row>
    <row r="34" spans="1:12" x14ac:dyDescent="0.25">
      <c r="A34" s="700">
        <v>27</v>
      </c>
      <c r="B34" s="475" t="s">
        <v>274</v>
      </c>
      <c r="C34" s="563">
        <f t="shared" si="3"/>
        <v>73</v>
      </c>
      <c r="D34" s="686"/>
      <c r="E34" s="686">
        <f>73-F34</f>
        <v>40</v>
      </c>
      <c r="F34" s="112">
        <v>33</v>
      </c>
      <c r="G34" s="725">
        <f t="shared" si="0"/>
        <v>20984</v>
      </c>
      <c r="H34" s="702">
        <f>3000+1000+2100+368</f>
        <v>6468</v>
      </c>
      <c r="I34" s="701">
        <v>500</v>
      </c>
      <c r="J34" s="701"/>
      <c r="K34" s="701">
        <v>5824.2264667496729</v>
      </c>
      <c r="L34" s="210">
        <f t="shared" si="2"/>
        <v>33776.226466749671</v>
      </c>
    </row>
    <row r="35" spans="1:12" x14ac:dyDescent="0.25">
      <c r="A35" s="703">
        <v>28</v>
      </c>
      <c r="B35" s="475" t="s">
        <v>214</v>
      </c>
      <c r="C35" s="563">
        <f t="shared" si="3"/>
        <v>22</v>
      </c>
      <c r="D35" s="573"/>
      <c r="E35" s="127">
        <f>22-F35</f>
        <v>13</v>
      </c>
      <c r="F35" s="706">
        <v>9</v>
      </c>
      <c r="G35" s="725">
        <f t="shared" si="0"/>
        <v>6392</v>
      </c>
      <c r="H35" s="702">
        <f>1900+370+5200+368</f>
        <v>7838</v>
      </c>
      <c r="I35" s="701">
        <v>500</v>
      </c>
      <c r="J35" s="701"/>
      <c r="K35" s="701">
        <v>2364.7933761869754</v>
      </c>
      <c r="L35" s="210">
        <f t="shared" si="2"/>
        <v>17094.793376186975</v>
      </c>
    </row>
    <row r="36" spans="1:12" ht="15.75" thickBot="1" x14ac:dyDescent="0.3">
      <c r="A36" s="707"/>
      <c r="B36" s="475" t="s">
        <v>278</v>
      </c>
      <c r="C36" s="578"/>
      <c r="D36" s="573"/>
      <c r="E36" s="127"/>
      <c r="F36" s="706"/>
      <c r="G36" s="726"/>
      <c r="H36" s="709"/>
      <c r="I36" s="708"/>
      <c r="J36" s="708">
        <v>20000</v>
      </c>
      <c r="K36" s="710"/>
      <c r="L36" s="711">
        <f>SUM(L8:L35)+J36</f>
        <v>1777005</v>
      </c>
    </row>
    <row r="37" spans="1:12" ht="16.5" thickBot="1" x14ac:dyDescent="0.3">
      <c r="A37" s="898" t="s">
        <v>275</v>
      </c>
      <c r="B37" s="899"/>
      <c r="C37" s="586">
        <f t="shared" ref="C37:K37" si="4">SUM(C8:C36)</f>
        <v>2876</v>
      </c>
      <c r="D37" s="713">
        <f t="shared" si="4"/>
        <v>104</v>
      </c>
      <c r="E37" s="712">
        <f t="shared" si="4"/>
        <v>1458</v>
      </c>
      <c r="F37" s="587">
        <f t="shared" si="4"/>
        <v>1314</v>
      </c>
      <c r="G37" s="66">
        <f t="shared" si="4"/>
        <v>825712</v>
      </c>
      <c r="H37" s="102">
        <f t="shared" si="4"/>
        <v>579000</v>
      </c>
      <c r="I37" s="102">
        <f t="shared" si="4"/>
        <v>22500</v>
      </c>
      <c r="J37" s="102">
        <f t="shared" si="4"/>
        <v>20000</v>
      </c>
      <c r="K37" s="102">
        <f t="shared" si="4"/>
        <v>329793</v>
      </c>
      <c r="L37" s="714">
        <f>L36</f>
        <v>1777005</v>
      </c>
    </row>
    <row r="38" spans="1:12" x14ac:dyDescent="0.25">
      <c r="A38" s="715"/>
      <c r="B38" s="716"/>
      <c r="C38" s="716"/>
      <c r="D38" s="716"/>
      <c r="E38" s="716"/>
      <c r="F38" s="716"/>
      <c r="G38" s="716"/>
      <c r="H38" s="717"/>
      <c r="I38" s="715"/>
      <c r="J38" s="715"/>
      <c r="K38" s="715"/>
      <c r="L38" s="716"/>
    </row>
    <row r="39" spans="1:12" x14ac:dyDescent="0.25">
      <c r="H39" s="718"/>
      <c r="I39" s="718"/>
      <c r="J39" s="718"/>
      <c r="K39" s="718"/>
      <c r="L39" s="719"/>
    </row>
    <row r="40" spans="1:12" x14ac:dyDescent="0.25">
      <c r="A40" s="859"/>
      <c r="B40" s="859"/>
      <c r="C40" s="859"/>
      <c r="D40" s="859"/>
      <c r="E40" s="859"/>
      <c r="F40" s="859"/>
      <c r="I40" s="720"/>
      <c r="J40" s="720"/>
    </row>
  </sheetData>
  <mergeCells count="16">
    <mergeCell ref="A40:F40"/>
    <mergeCell ref="C3:F3"/>
    <mergeCell ref="G3:L3"/>
    <mergeCell ref="A1:L1"/>
    <mergeCell ref="L4:L5"/>
    <mergeCell ref="A37:B37"/>
    <mergeCell ref="H4:H5"/>
    <mergeCell ref="I4:I5"/>
    <mergeCell ref="J4:J5"/>
    <mergeCell ref="K4:K5"/>
    <mergeCell ref="A3:A5"/>
    <mergeCell ref="B3:B5"/>
    <mergeCell ref="C4:C5"/>
    <mergeCell ref="D4:D5"/>
    <mergeCell ref="E4:F4"/>
    <mergeCell ref="G4:G5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Разчет по ф-ла-322+332+326+318</vt:lpstr>
      <vt:lpstr>Разчет д.338-у-ща</vt:lpstr>
      <vt:lpstr>Разчет д.338-ДГ</vt:lpstr>
      <vt:lpstr>Разчет ДГ д.д. 311-ф-ла</vt:lpstr>
      <vt:lpstr>Разчет ДГ м.д. 311-ф-ла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2018-03-08T06:39:56Z</dcterms:modified>
</cp:coreProperties>
</file>