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BUDGET\1. БЮДЖЕТИ\БЮДЖЕТ 2026 юни\Материали за публикуване публично обсъждане 27.08.2026\"/>
    </mc:Choice>
  </mc:AlternateContent>
  <bookViews>
    <workbookView xWindow="0" yWindow="0" windowWidth="21600" windowHeight="9480" tabRatio="417"/>
  </bookViews>
  <sheets>
    <sheet name="ПРИХОДИ 2026" sheetId="3" r:id="rId1"/>
  </sheets>
  <calcPr calcId="162913"/>
</workbook>
</file>

<file path=xl/calcChain.xml><?xml version="1.0" encoding="utf-8"?>
<calcChain xmlns="http://schemas.openxmlformats.org/spreadsheetml/2006/main">
  <c r="C105" i="3" l="1"/>
  <c r="C103" i="3"/>
  <c r="C84" i="3"/>
  <c r="C79" i="3"/>
  <c r="C77" i="3"/>
  <c r="C76" i="3"/>
  <c r="C75" i="3"/>
  <c r="C74" i="3"/>
  <c r="C70" i="3"/>
  <c r="C44" i="3"/>
  <c r="D103" i="3"/>
  <c r="D95" i="3" l="1"/>
  <c r="D93" i="3"/>
  <c r="D91" i="3"/>
  <c r="D90" i="3"/>
  <c r="D84" i="3"/>
  <c r="D79" i="3"/>
  <c r="D78" i="3" s="1"/>
  <c r="D75" i="3"/>
  <c r="D70" i="3"/>
  <c r="D69" i="3"/>
  <c r="D68" i="3"/>
  <c r="D66" i="3" s="1"/>
  <c r="D54" i="3"/>
  <c r="D53" i="3"/>
  <c r="D52" i="3"/>
  <c r="D50" i="3"/>
  <c r="D47" i="3"/>
  <c r="D46" i="3"/>
  <c r="D44" i="3"/>
  <c r="D43" i="3"/>
  <c r="D42" i="3"/>
  <c r="D39" i="3"/>
  <c r="D38" i="3"/>
  <c r="D36" i="3"/>
  <c r="D35" i="3"/>
  <c r="D34" i="3"/>
  <c r="D33" i="3"/>
  <c r="D32" i="3"/>
  <c r="D31" i="3"/>
  <c r="D30" i="3"/>
  <c r="D29" i="3"/>
  <c r="D28" i="3"/>
  <c r="D27" i="3"/>
  <c r="D25" i="3"/>
  <c r="D24" i="3"/>
  <c r="D23" i="3"/>
  <c r="D22" i="3"/>
  <c r="D18" i="3" l="1"/>
  <c r="D17" i="3"/>
  <c r="D16" i="3"/>
  <c r="D14" i="3"/>
  <c r="D12" i="3"/>
  <c r="D11" i="3" s="1"/>
  <c r="C106" i="3"/>
  <c r="C104" i="3"/>
  <c r="C101" i="3"/>
  <c r="C100" i="3"/>
  <c r="C99" i="3" l="1"/>
  <c r="C96" i="3"/>
  <c r="C95" i="3"/>
  <c r="C93" i="3"/>
  <c r="C91" i="3"/>
  <c r="C90" i="3"/>
  <c r="C89" i="3"/>
  <c r="C81" i="3"/>
  <c r="C69" i="3"/>
  <c r="C68" i="3"/>
  <c r="C12" i="3"/>
  <c r="C57" i="3"/>
  <c r="C56" i="3"/>
  <c r="C54" i="3"/>
  <c r="C53" i="3"/>
  <c r="C52" i="3"/>
  <c r="C50" i="3"/>
  <c r="C48" i="3"/>
  <c r="C47" i="3"/>
  <c r="C46" i="3"/>
  <c r="C42" i="3"/>
  <c r="C41" i="3"/>
  <c r="C39" i="3"/>
  <c r="C38" i="3"/>
  <c r="C36" i="3"/>
  <c r="C35" i="3"/>
  <c r="C34" i="3"/>
  <c r="C33" i="3"/>
  <c r="C32" i="3"/>
  <c r="C31" i="3"/>
  <c r="C30" i="3"/>
  <c r="C29" i="3"/>
  <c r="C28" i="3"/>
  <c r="C27" i="3"/>
  <c r="C25" i="3"/>
  <c r="C24" i="3"/>
  <c r="C23" i="3"/>
  <c r="C22" i="3"/>
  <c r="C18" i="3"/>
  <c r="C17" i="3"/>
  <c r="C16" i="3"/>
  <c r="C15" i="3"/>
  <c r="C14" i="3"/>
  <c r="C11" i="3"/>
  <c r="C66" i="3" l="1"/>
  <c r="C13" i="3"/>
  <c r="C88" i="3"/>
  <c r="E88" i="3"/>
  <c r="E102" i="3"/>
  <c r="D102" i="3"/>
  <c r="C102" i="3"/>
  <c r="E98" i="3"/>
  <c r="D98" i="3"/>
  <c r="C98" i="3"/>
  <c r="E94" i="3"/>
  <c r="D94" i="3"/>
  <c r="C94" i="3"/>
  <c r="D88" i="3"/>
  <c r="E85" i="3"/>
  <c r="D85" i="3"/>
  <c r="C85" i="3"/>
  <c r="E80" i="3"/>
  <c r="C80" i="3"/>
  <c r="E78" i="3"/>
  <c r="C78" i="3"/>
  <c r="E73" i="3"/>
  <c r="D73" i="3"/>
  <c r="C73" i="3"/>
  <c r="E66" i="3"/>
  <c r="E55" i="3"/>
  <c r="D55" i="3"/>
  <c r="C55" i="3"/>
  <c r="E49" i="3"/>
  <c r="D49" i="3"/>
  <c r="C49" i="3"/>
  <c r="E45" i="3"/>
  <c r="D45" i="3"/>
  <c r="C45" i="3"/>
  <c r="E40" i="3"/>
  <c r="D40" i="3"/>
  <c r="C40" i="3"/>
  <c r="E37" i="3"/>
  <c r="D37" i="3"/>
  <c r="C37" i="3"/>
  <c r="E26" i="3"/>
  <c r="D26" i="3"/>
  <c r="C26" i="3"/>
  <c r="E21" i="3"/>
  <c r="D21" i="3"/>
  <c r="C21" i="3"/>
  <c r="E13" i="3"/>
  <c r="D13" i="3"/>
  <c r="C19" i="3"/>
  <c r="E11" i="3"/>
  <c r="E107" i="3" l="1"/>
  <c r="D19" i="3"/>
  <c r="D82" i="3"/>
  <c r="D60" i="3"/>
  <c r="D61" i="3" s="1"/>
  <c r="C60" i="3"/>
  <c r="C61" i="3" s="1"/>
  <c r="C107" i="3"/>
  <c r="C82" i="3"/>
  <c r="E60" i="3"/>
  <c r="E82" i="3"/>
  <c r="D107" i="3"/>
  <c r="E19" i="3"/>
  <c r="D86" i="3" l="1"/>
  <c r="D108" i="3" s="1"/>
  <c r="C86" i="3"/>
  <c r="C108" i="3" s="1"/>
  <c r="E61" i="3"/>
  <c r="E86" i="3" s="1"/>
  <c r="E108" i="3" l="1"/>
</calcChain>
</file>

<file path=xl/sharedStrings.xml><?xml version="1.0" encoding="utf-8"?>
<sst xmlns="http://schemas.openxmlformats.org/spreadsheetml/2006/main" count="185" uniqueCount="184">
  <si>
    <t>Община</t>
  </si>
  <si>
    <t>Година</t>
  </si>
  <si>
    <t xml:space="preserve"> 1. Имущественни и др. данъци</t>
  </si>
  <si>
    <t>I.Имуществени данъци и неданъчни приходи</t>
  </si>
  <si>
    <t>Всичко имуществени данъци</t>
  </si>
  <si>
    <t>2. Неданъчни приходи</t>
  </si>
  <si>
    <t>Общо приходи (1+2)</t>
  </si>
  <si>
    <t>III.Трансфери</t>
  </si>
  <si>
    <t>Всичко трансфери</t>
  </si>
  <si>
    <t>IV.Временни безлихвени заеми</t>
  </si>
  <si>
    <t>Всичко временни безлихвени заеми</t>
  </si>
  <si>
    <t>Всичко приходи (І+ІІІ+ІV)</t>
  </si>
  <si>
    <t>V.Операции с финансови активи и пасиви</t>
  </si>
  <si>
    <t xml:space="preserve">Всичко финансиране на дефицита </t>
  </si>
  <si>
    <t xml:space="preserve">7710 Шумен </t>
  </si>
  <si>
    <t>0100</t>
  </si>
  <si>
    <t>Данък върху доходите на физически лица</t>
  </si>
  <si>
    <t>0103</t>
  </si>
  <si>
    <t>патентен данък и данък върху таксиметров превоз на пътници</t>
  </si>
  <si>
    <t>1300</t>
  </si>
  <si>
    <t>Имуществени и други местни данъци</t>
  </si>
  <si>
    <t>1301</t>
  </si>
  <si>
    <t>данък върху недвижими имоти</t>
  </si>
  <si>
    <t>1303</t>
  </si>
  <si>
    <t>данък върху превозните средства</t>
  </si>
  <si>
    <t>1304</t>
  </si>
  <si>
    <t>данък при придобиване на имущество по дарения и възмезден начин</t>
  </si>
  <si>
    <t>1308</t>
  </si>
  <si>
    <t>туристически данък</t>
  </si>
  <si>
    <t>2400</t>
  </si>
  <si>
    <t>Приходи и доходи от собственост</t>
  </si>
  <si>
    <t>2404</t>
  </si>
  <si>
    <t>нетни приходи от продажби на услуги, стоки и продукция</t>
  </si>
  <si>
    <t>2405</t>
  </si>
  <si>
    <t>приходи от наеми на имущество</t>
  </si>
  <si>
    <t>2406</t>
  </si>
  <si>
    <t>приходи от наеми на земя</t>
  </si>
  <si>
    <t>2407</t>
  </si>
  <si>
    <t>приходи от дивиденти</t>
  </si>
  <si>
    <t>2700</t>
  </si>
  <si>
    <t>Общински такси</t>
  </si>
  <si>
    <t>2702</t>
  </si>
  <si>
    <t>за ползване на детски кухни</t>
  </si>
  <si>
    <t>2704</t>
  </si>
  <si>
    <t>за ползване на домашен социален патронаж и други общински социални услуги</t>
  </si>
  <si>
    <t>2705</t>
  </si>
  <si>
    <t>за ползване на пазари, тържища, панаири, тротоари, улични платна и др.</t>
  </si>
  <si>
    <t>2707</t>
  </si>
  <si>
    <t>за битови отпадъци</t>
  </si>
  <si>
    <t>2708</t>
  </si>
  <si>
    <t>за ползване на общежития и други по образованието</t>
  </si>
  <si>
    <t>2710</t>
  </si>
  <si>
    <t>за технически услуги</t>
  </si>
  <si>
    <t>2711</t>
  </si>
  <si>
    <t>за административни услуги</t>
  </si>
  <si>
    <t>2715</t>
  </si>
  <si>
    <t>за откупуване на гробни места</t>
  </si>
  <si>
    <t>2717</t>
  </si>
  <si>
    <t>за притежаване на куче</t>
  </si>
  <si>
    <t>2729</t>
  </si>
  <si>
    <t>други общински такси</t>
  </si>
  <si>
    <t>2800</t>
  </si>
  <si>
    <t>Глоби, санкции и наказателни лихви</t>
  </si>
  <si>
    <t>2802</t>
  </si>
  <si>
    <t>глоби, санкции, неустойки, наказателни лихви, обезщетения и начети</t>
  </si>
  <si>
    <t>2809</t>
  </si>
  <si>
    <t>наказателни лихви за данъци, мита и осигурителни вноски</t>
  </si>
  <si>
    <t>3600</t>
  </si>
  <si>
    <t>Други приходи</t>
  </si>
  <si>
    <t>3601</t>
  </si>
  <si>
    <t>реализирани курсови разлики от валутни операции (нето) (+/-)</t>
  </si>
  <si>
    <t>3611</t>
  </si>
  <si>
    <t>получени застрахователни обезщетения за ДМА</t>
  </si>
  <si>
    <t>3612</t>
  </si>
  <si>
    <t>получени други застрахователни обезщетения</t>
  </si>
  <si>
    <t>3619</t>
  </si>
  <si>
    <t>други неданъчни приходи</t>
  </si>
  <si>
    <t>3700</t>
  </si>
  <si>
    <t>Внесени ДДС и други данъци върху продажбите</t>
  </si>
  <si>
    <t>3701</t>
  </si>
  <si>
    <t>внесен ДДС (-)</t>
  </si>
  <si>
    <t>3702</t>
  </si>
  <si>
    <t>внесен данък върху приходите от стопанска дейност на бюджетните предприятия (-)</t>
  </si>
  <si>
    <t>3709</t>
  </si>
  <si>
    <t>внесени други данъци, такси и вноски върху продажбите(-)</t>
  </si>
  <si>
    <t>4000</t>
  </si>
  <si>
    <t>Постъпления от продажба на нефинансови активи</t>
  </si>
  <si>
    <t>4022</t>
  </si>
  <si>
    <t>постъпления от продажба на сгради</t>
  </si>
  <si>
    <t>4025</t>
  </si>
  <si>
    <t>постъпления от продажба на стопански инвентар</t>
  </si>
  <si>
    <t>4030</t>
  </si>
  <si>
    <t>постъпления от продажба на нематериални дълготрайни активи</t>
  </si>
  <si>
    <t>4040</t>
  </si>
  <si>
    <t>постъпления от продажба на земя</t>
  </si>
  <si>
    <t>4100</t>
  </si>
  <si>
    <t>Приходи от концесии</t>
  </si>
  <si>
    <t>4500</t>
  </si>
  <si>
    <t>Помощи и дарения от страната</t>
  </si>
  <si>
    <t>4501</t>
  </si>
  <si>
    <t>текущи помощи и дарения от страната</t>
  </si>
  <si>
    <t>3100</t>
  </si>
  <si>
    <t>Трансфери между бюджета на бюджетната организация и ЦБ (нето)</t>
  </si>
  <si>
    <t>3112</t>
  </si>
  <si>
    <t>обща изравнителна субсидия и други трансфери за местни дейности от ЦБ за общини (+)</t>
  </si>
  <si>
    <t>3113</t>
  </si>
  <si>
    <t>получени от общини целеви субсидии от ЦБ за капиталови разходи (+)</t>
  </si>
  <si>
    <t>3118</t>
  </si>
  <si>
    <t>получени от общини трансфери за други целеви разходи от ЦБ чрез  кодовете в СЕБРА 488 001 ххх-х</t>
  </si>
  <si>
    <t>6100</t>
  </si>
  <si>
    <t>Трансфери между бюджети (нето)</t>
  </si>
  <si>
    <t>6101</t>
  </si>
  <si>
    <t>трансфери между бюджети - получени трансфери (+)</t>
  </si>
  <si>
    <t>6102</t>
  </si>
  <si>
    <t>трансфери между бюджети - предоставени трансфери (-)</t>
  </si>
  <si>
    <t>6109</t>
  </si>
  <si>
    <t>вътрешни трансфери в системата на първостепенния разпоредител (+/-)</t>
  </si>
  <si>
    <t>6200</t>
  </si>
  <si>
    <t>Трансфери между бюджети и сметки за средствата от Европейския съюз (нето)</t>
  </si>
  <si>
    <t>6202</t>
  </si>
  <si>
    <t>предоставени трансфери (+/-)</t>
  </si>
  <si>
    <t xml:space="preserve">Трансфери от/за държавни предприятия и други лица, включени в консолидираната фискална програма </t>
  </si>
  <si>
    <t>6401</t>
  </si>
  <si>
    <t>получени трансфери (+)</t>
  </si>
  <si>
    <t>7600</t>
  </si>
  <si>
    <t>Временни безлихвени заеми между бюджети и сметки за средствата от Европейския съюз (нето)</t>
  </si>
  <si>
    <t>8300</t>
  </si>
  <si>
    <t>Заеми от банки и други лица в страната - нето (+/-)</t>
  </si>
  <si>
    <t>8312</t>
  </si>
  <si>
    <t>получени дългосрочни заеми от банки в страната (+)</t>
  </si>
  <si>
    <t>8322</t>
  </si>
  <si>
    <t>погашения по дългосрочни заеми от банки в страната (-)</t>
  </si>
  <si>
    <t>8372</t>
  </si>
  <si>
    <t>8382</t>
  </si>
  <si>
    <t>погашения по дългосрочни заеми от други лица в страната (-)</t>
  </si>
  <si>
    <t>8800</t>
  </si>
  <si>
    <t>Събрани средства и извършени плащания за сметка на други бюджети, сметки и фондове - нето (+/-)</t>
  </si>
  <si>
    <t>8803</t>
  </si>
  <si>
    <t>събрани средства и извършени плащания от/за сметки за средствата от Европейския съюз (+/-)</t>
  </si>
  <si>
    <t>8804</t>
  </si>
  <si>
    <t>събрани средства и извършени плащания от/за общински бюджети (+/-)</t>
  </si>
  <si>
    <t>8809</t>
  </si>
  <si>
    <t>събрани средства и извършени плащания от/за други бюджети (+/-)</t>
  </si>
  <si>
    <t>9300</t>
  </si>
  <si>
    <t>Друго финансиране - нето(+/-)</t>
  </si>
  <si>
    <t>9310</t>
  </si>
  <si>
    <t>чужди средства от други лица (небюджетни предприятия и физически лица) (+/-)</t>
  </si>
  <si>
    <t>9336</t>
  </si>
  <si>
    <t>друго финансиране - операции с активи - предоставени временни депозити и гаранции на други бюджетни организации (-/+)</t>
  </si>
  <si>
    <t>9338</t>
  </si>
  <si>
    <t>друго финансиране - операции с активи (+/-)</t>
  </si>
  <si>
    <t>9500</t>
  </si>
  <si>
    <t>Депозити и средства по сметки - нето (+/-)     (този параграф се използва и за наличностите на ЦБ в БНБ)</t>
  </si>
  <si>
    <t>9501</t>
  </si>
  <si>
    <t>остатък в левове по сметки от предходния период (+)</t>
  </si>
  <si>
    <t>9505</t>
  </si>
  <si>
    <t>остатък в касата в  левове от предходния период (+)</t>
  </si>
  <si>
    <t>9507</t>
  </si>
  <si>
    <t>наличност в левове по сметки в края на периода (-)</t>
  </si>
  <si>
    <t>9511</t>
  </si>
  <si>
    <t>наличност в касата в левове в края на периода (-)</t>
  </si>
  <si>
    <t xml:space="preserve">Общо  приходи от Местни Дейности </t>
  </si>
  <si>
    <t>к. 1</t>
  </si>
  <si>
    <t>к. 2</t>
  </si>
  <si>
    <t>к. 3</t>
  </si>
  <si>
    <t>к. 4</t>
  </si>
  <si>
    <t>к. 5</t>
  </si>
  <si>
    <t>Параграф</t>
  </si>
  <si>
    <t>Име на параграф</t>
  </si>
  <si>
    <t>Помощи и дарения от чужбина</t>
  </si>
  <si>
    <t>Получени чрез небюджетни предприятия средства от КФП по международни и други програми</t>
  </si>
  <si>
    <t>6400</t>
  </si>
  <si>
    <t>възстановени трансфериза ЦБ</t>
  </si>
  <si>
    <t>трансфери от МТСП</t>
  </si>
  <si>
    <t>Всичко неданъчни приходи</t>
  </si>
  <si>
    <t>капиталови помощи и дарения от страната</t>
  </si>
  <si>
    <t>2026 г.</t>
  </si>
  <si>
    <t>Месечен отчет към 31.12.2025 г.</t>
  </si>
  <si>
    <t>Начален план       2025 Г.</t>
  </si>
  <si>
    <t>данък върху наследства</t>
  </si>
  <si>
    <t>получени краткосрочни заеми от банки в страната (+)</t>
  </si>
  <si>
    <t xml:space="preserve">ПРОЕКТ 2026 </t>
  </si>
  <si>
    <t>ПРИХОДИ МЕСТНИ ДЕЙНОСТИ БЕЗ ПРЕХОДНИ ОСТАТЪЦИ</t>
  </si>
  <si>
    <t>Приложение №1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</si>
</sst>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</font>
    <font>
      <sz val="11"/>
      <color indexed="8"/>
      <name val="Arial Narrow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i/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Arial Narrow"/>
      <family val="2"/>
      <charset val="204"/>
    </font>
    <font>
      <sz val="11"/>
      <color rgb="FF000000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3" fillId="0" borderId="0"/>
  </cellStyleXfs>
  <cellXfs count="72">
    <xf numFmtId="0" fontId="0" fillId="0" borderId="0" xfId="0"/>
    <xf numFmtId="3" fontId="0" fillId="0" borderId="0" xfId="0" applyNumberFormat="1"/>
    <xf numFmtId="3" fontId="0" fillId="0" borderId="0" xfId="0" applyNumberFormat="1" applyFont="1"/>
    <xf numFmtId="3" fontId="5" fillId="0" borderId="2" xfId="0" applyNumberFormat="1" applyFont="1" applyBorder="1" applyAlignment="1"/>
    <xf numFmtId="3" fontId="2" fillId="0" borderId="1" xfId="1" applyNumberFormat="1" applyFont="1" applyBorder="1" applyAlignment="1">
      <alignment horizontal="left"/>
    </xf>
    <xf numFmtId="3" fontId="5" fillId="0" borderId="1" xfId="0" applyNumberFormat="1" applyFont="1" applyBorder="1"/>
    <xf numFmtId="3" fontId="2" fillId="0" borderId="6" xfId="1" applyNumberFormat="1" applyFont="1" applyBorder="1" applyAlignment="1">
      <alignment horizontal="left"/>
    </xf>
    <xf numFmtId="3" fontId="2" fillId="0" borderId="0" xfId="1" applyNumberFormat="1" applyFont="1" applyBorder="1" applyAlignment="1">
      <alignment horizontal="left"/>
    </xf>
    <xf numFmtId="3" fontId="0" fillId="0" borderId="0" xfId="0" applyNumberFormat="1" applyAlignment="1">
      <alignment horizontal="center"/>
    </xf>
    <xf numFmtId="3" fontId="4" fillId="0" borderId="0" xfId="1" applyNumberFormat="1" applyFont="1" applyBorder="1" applyAlignment="1">
      <alignment horizontal="left"/>
    </xf>
    <xf numFmtId="3" fontId="4" fillId="0" borderId="2" xfId="1" applyNumberFormat="1" applyFont="1" applyBorder="1" applyAlignment="1">
      <alignment horizontal="left"/>
    </xf>
    <xf numFmtId="3" fontId="2" fillId="0" borderId="2" xfId="1" applyNumberFormat="1" applyFont="1" applyBorder="1" applyAlignment="1">
      <alignment horizontal="left"/>
    </xf>
    <xf numFmtId="3" fontId="2" fillId="2" borderId="1" xfId="1" applyNumberFormat="1" applyFont="1" applyFill="1" applyBorder="1" applyAlignment="1">
      <alignment horizontal="left"/>
    </xf>
    <xf numFmtId="3" fontId="2" fillId="2" borderId="2" xfId="1" applyNumberFormat="1" applyFont="1" applyFill="1" applyBorder="1" applyAlignment="1">
      <alignment horizontal="left"/>
    </xf>
    <xf numFmtId="3" fontId="2" fillId="2" borderId="6" xfId="1" applyNumberFormat="1" applyFont="1" applyFill="1" applyBorder="1" applyAlignment="1">
      <alignment horizontal="left"/>
    </xf>
    <xf numFmtId="3" fontId="2" fillId="0" borderId="4" xfId="1" applyNumberFormat="1" applyFont="1" applyBorder="1" applyAlignment="1">
      <alignment horizontal="left"/>
    </xf>
    <xf numFmtId="3" fontId="5" fillId="0" borderId="2" xfId="0" applyNumberFormat="1" applyFont="1" applyFill="1" applyBorder="1"/>
    <xf numFmtId="3" fontId="6" fillId="0" borderId="2" xfId="0" applyNumberFormat="1" applyFont="1" applyBorder="1" applyAlignment="1"/>
    <xf numFmtId="3" fontId="8" fillId="0" borderId="5" xfId="0" applyNumberFormat="1" applyFont="1" applyBorder="1"/>
    <xf numFmtId="3" fontId="9" fillId="0" borderId="1" xfId="1" applyNumberFormat="1" applyFont="1" applyBorder="1" applyAlignment="1">
      <alignment horizontal="right"/>
    </xf>
    <xf numFmtId="3" fontId="9" fillId="0" borderId="2" xfId="1" applyNumberFormat="1" applyFont="1" applyBorder="1" applyAlignment="1">
      <alignment horizontal="right"/>
    </xf>
    <xf numFmtId="3" fontId="10" fillId="0" borderId="1" xfId="1" applyNumberFormat="1" applyFont="1" applyBorder="1" applyAlignment="1">
      <alignment horizontal="right"/>
    </xf>
    <xf numFmtId="3" fontId="9" fillId="2" borderId="1" xfId="1" applyNumberFormat="1" applyFont="1" applyFill="1" applyBorder="1" applyAlignment="1">
      <alignment horizontal="right"/>
    </xf>
    <xf numFmtId="3" fontId="10" fillId="0" borderId="2" xfId="1" applyNumberFormat="1" applyFont="1" applyBorder="1" applyAlignment="1">
      <alignment horizontal="right"/>
    </xf>
    <xf numFmtId="3" fontId="8" fillId="0" borderId="2" xfId="0" applyNumberFormat="1" applyFont="1" applyBorder="1"/>
    <xf numFmtId="3" fontId="10" fillId="0" borderId="2" xfId="0" applyNumberFormat="1" applyFont="1" applyBorder="1" applyAlignment="1">
      <alignment horizontal="right"/>
    </xf>
    <xf numFmtId="3" fontId="10" fillId="0" borderId="0" xfId="0" applyNumberFormat="1" applyFont="1" applyBorder="1" applyAlignment="1">
      <alignment horizontal="right"/>
    </xf>
    <xf numFmtId="3" fontId="10" fillId="0" borderId="0" xfId="1" applyNumberFormat="1" applyFont="1" applyBorder="1" applyAlignment="1">
      <alignment horizontal="right"/>
    </xf>
    <xf numFmtId="3" fontId="8" fillId="0" borderId="0" xfId="0" applyNumberFormat="1" applyFont="1" applyBorder="1"/>
    <xf numFmtId="3" fontId="6" fillId="0" borderId="3" xfId="0" applyNumberFormat="1" applyFont="1" applyBorder="1" applyAlignment="1"/>
    <xf numFmtId="3" fontId="8" fillId="2" borderId="2" xfId="0" applyNumberFormat="1" applyFont="1" applyFill="1" applyBorder="1"/>
    <xf numFmtId="3" fontId="10" fillId="0" borderId="1" xfId="0" applyNumberFormat="1" applyFont="1" applyBorder="1" applyAlignment="1">
      <alignment horizontal="right"/>
    </xf>
    <xf numFmtId="3" fontId="9" fillId="0" borderId="6" xfId="1" applyNumberFormat="1" applyFont="1" applyBorder="1" applyAlignment="1">
      <alignment horizontal="right"/>
    </xf>
    <xf numFmtId="3" fontId="2" fillId="3" borderId="6" xfId="1" applyNumberFormat="1" applyFont="1" applyFill="1" applyBorder="1" applyAlignment="1">
      <alignment horizontal="left"/>
    </xf>
    <xf numFmtId="3" fontId="2" fillId="3" borderId="1" xfId="1" applyNumberFormat="1" applyFont="1" applyFill="1" applyBorder="1" applyAlignment="1">
      <alignment horizontal="left"/>
    </xf>
    <xf numFmtId="3" fontId="9" fillId="3" borderId="1" xfId="1" applyNumberFormat="1" applyFont="1" applyFill="1" applyBorder="1" applyAlignment="1">
      <alignment horizontal="right"/>
    </xf>
    <xf numFmtId="3" fontId="2" fillId="3" borderId="2" xfId="1" applyNumberFormat="1" applyFont="1" applyFill="1" applyBorder="1" applyAlignment="1">
      <alignment horizontal="left"/>
    </xf>
    <xf numFmtId="3" fontId="5" fillId="2" borderId="2" xfId="0" applyNumberFormat="1" applyFont="1" applyFill="1" applyBorder="1" applyAlignment="1"/>
    <xf numFmtId="3" fontId="2" fillId="2" borderId="0" xfId="1" applyNumberFormat="1" applyFont="1" applyFill="1" applyBorder="1" applyAlignment="1">
      <alignment horizontal="left"/>
    </xf>
    <xf numFmtId="3" fontId="10" fillId="2" borderId="1" xfId="1" applyNumberFormat="1" applyFont="1" applyFill="1" applyBorder="1" applyAlignment="1">
      <alignment horizontal="right"/>
    </xf>
    <xf numFmtId="3" fontId="10" fillId="2" borderId="1" xfId="0" applyNumberFormat="1" applyFont="1" applyFill="1" applyBorder="1" applyAlignment="1">
      <alignment horizontal="right"/>
    </xf>
    <xf numFmtId="3" fontId="1" fillId="0" borderId="0" xfId="0" applyNumberFormat="1" applyFont="1" applyAlignment="1">
      <alignment horizontal="center"/>
    </xf>
    <xf numFmtId="3" fontId="10" fillId="2" borderId="2" xfId="1" applyNumberFormat="1" applyFont="1" applyFill="1" applyBorder="1" applyAlignment="1">
      <alignment horizontal="right"/>
    </xf>
    <xf numFmtId="3" fontId="8" fillId="3" borderId="2" xfId="0" applyNumberFormat="1" applyFont="1" applyFill="1" applyBorder="1"/>
    <xf numFmtId="3" fontId="2" fillId="3" borderId="4" xfId="1" applyNumberFormat="1" applyFont="1" applyFill="1" applyBorder="1" applyAlignment="1">
      <alignment horizontal="left"/>
    </xf>
    <xf numFmtId="3" fontId="9" fillId="3" borderId="2" xfId="1" applyNumberFormat="1" applyFont="1" applyFill="1" applyBorder="1" applyAlignment="1">
      <alignment horizontal="right"/>
    </xf>
    <xf numFmtId="3" fontId="8" fillId="3" borderId="5" xfId="0" applyNumberFormat="1" applyFont="1" applyFill="1" applyBorder="1"/>
    <xf numFmtId="3" fontId="0" fillId="3" borderId="0" xfId="0" applyNumberFormat="1" applyFill="1"/>
    <xf numFmtId="0" fontId="12" fillId="0" borderId="0" xfId="0" applyFont="1"/>
    <xf numFmtId="3" fontId="5" fillId="0" borderId="2" xfId="0" applyNumberFormat="1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3" fontId="7" fillId="2" borderId="2" xfId="0" applyNumberFormat="1" applyFont="1" applyFill="1" applyBorder="1" applyAlignment="1">
      <alignment horizontal="center" vertical="center"/>
    </xf>
    <xf numFmtId="3" fontId="5" fillId="2" borderId="2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Border="1"/>
    <xf numFmtId="3" fontId="6" fillId="0" borderId="2" xfId="0" applyNumberFormat="1" applyFont="1" applyBorder="1"/>
    <xf numFmtId="3" fontId="8" fillId="3" borderId="2" xfId="0" applyNumberFormat="1" applyFont="1" applyFill="1" applyBorder="1" applyAlignment="1"/>
    <xf numFmtId="3" fontId="8" fillId="2" borderId="2" xfId="0" applyNumberFormat="1" applyFont="1" applyFill="1" applyBorder="1" applyAlignment="1"/>
    <xf numFmtId="3" fontId="4" fillId="2" borderId="2" xfId="1" applyNumberFormat="1" applyFont="1" applyFill="1" applyBorder="1" applyAlignment="1">
      <alignment horizontal="left"/>
    </xf>
    <xf numFmtId="3" fontId="5" fillId="2" borderId="2" xfId="0" applyNumberFormat="1" applyFont="1" applyFill="1" applyBorder="1"/>
    <xf numFmtId="3" fontId="6" fillId="2" borderId="2" xfId="0" applyNumberFormat="1" applyFont="1" applyFill="1" applyBorder="1" applyAlignment="1"/>
    <xf numFmtId="3" fontId="5" fillId="0" borderId="7" xfId="0" applyNumberFormat="1" applyFont="1" applyBorder="1"/>
    <xf numFmtId="3" fontId="6" fillId="0" borderId="7" xfId="0" applyNumberFormat="1" applyFont="1" applyBorder="1"/>
    <xf numFmtId="3" fontId="8" fillId="3" borderId="0" xfId="0" applyNumberFormat="1" applyFont="1" applyFill="1" applyBorder="1"/>
    <xf numFmtId="3" fontId="11" fillId="2" borderId="2" xfId="1" applyNumberFormat="1" applyFont="1" applyFill="1" applyBorder="1" applyAlignment="1">
      <alignment horizontal="left"/>
    </xf>
    <xf numFmtId="3" fontId="9" fillId="2" borderId="2" xfId="1" applyNumberFormat="1" applyFont="1" applyFill="1" applyBorder="1" applyAlignment="1">
      <alignment horizontal="right"/>
    </xf>
    <xf numFmtId="3" fontId="2" fillId="0" borderId="2" xfId="1" applyNumberFormat="1" applyFont="1" applyFill="1" applyBorder="1" applyAlignment="1">
      <alignment horizontal="left"/>
    </xf>
    <xf numFmtId="3" fontId="6" fillId="2" borderId="2" xfId="0" applyNumberFormat="1" applyFont="1" applyFill="1" applyBorder="1"/>
    <xf numFmtId="1" fontId="2" fillId="2" borderId="2" xfId="1" applyNumberFormat="1" applyFont="1" applyFill="1" applyBorder="1" applyAlignment="1">
      <alignment horizontal="left"/>
    </xf>
    <xf numFmtId="3" fontId="6" fillId="3" borderId="2" xfId="0" applyNumberFormat="1" applyFont="1" applyFill="1" applyBorder="1"/>
    <xf numFmtId="3" fontId="1" fillId="0" borderId="0" xfId="0" applyNumberFormat="1" applyFont="1" applyAlignment="1">
      <alignment horizontal="center"/>
    </xf>
    <xf numFmtId="3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8"/>
  <sheetViews>
    <sheetView tabSelected="1" workbookViewId="0">
      <selection activeCell="H5" sqref="H5"/>
    </sheetView>
  </sheetViews>
  <sheetFormatPr defaultRowHeight="15" x14ac:dyDescent="0.25"/>
  <cols>
    <col min="1" max="1" width="15.7109375" style="1" customWidth="1"/>
    <col min="2" max="2" width="44" style="1" customWidth="1"/>
    <col min="3" max="3" width="13.28515625" style="1" customWidth="1"/>
    <col min="4" max="4" width="12.140625" style="1" customWidth="1"/>
    <col min="5" max="5" width="14.5703125" style="1" customWidth="1"/>
    <col min="6" max="16384" width="9.140625" style="1"/>
  </cols>
  <sheetData>
    <row r="1" spans="1:5" x14ac:dyDescent="0.25">
      <c r="D1" s="70" t="s">
        <v>183</v>
      </c>
      <c r="E1" s="71"/>
    </row>
    <row r="3" spans="1:5" ht="15.75" customHeight="1" x14ac:dyDescent="0.25">
      <c r="A3" s="69" t="s">
        <v>182</v>
      </c>
      <c r="B3" s="69"/>
      <c r="C3" s="69"/>
      <c r="D3" s="69"/>
      <c r="E3" s="69"/>
    </row>
    <row r="4" spans="1:5" ht="15.75" customHeight="1" x14ac:dyDescent="0.25">
      <c r="A4" s="41"/>
      <c r="B4" s="41"/>
      <c r="C4" s="41"/>
      <c r="D4" s="41"/>
      <c r="E4" s="41"/>
    </row>
    <row r="5" spans="1:5" ht="15.75" customHeight="1" x14ac:dyDescent="0.25">
      <c r="A5" s="41" t="s">
        <v>0</v>
      </c>
      <c r="B5" s="41" t="s">
        <v>1</v>
      </c>
      <c r="C5" s="41" t="s">
        <v>176</v>
      </c>
      <c r="D5" s="41"/>
      <c r="E5" s="41"/>
    </row>
    <row r="6" spans="1:5" ht="15" customHeight="1" x14ac:dyDescent="0.25">
      <c r="A6" s="1" t="s">
        <v>14</v>
      </c>
      <c r="B6" s="8"/>
    </row>
    <row r="7" spans="1:5" s="2" customFormat="1" ht="45" customHeight="1" x14ac:dyDescent="0.25">
      <c r="A7" s="49" t="s">
        <v>168</v>
      </c>
      <c r="B7" s="49" t="s">
        <v>167</v>
      </c>
      <c r="C7" s="50" t="s">
        <v>177</v>
      </c>
      <c r="D7" s="50" t="s">
        <v>178</v>
      </c>
      <c r="E7" s="51" t="s">
        <v>181</v>
      </c>
    </row>
    <row r="8" spans="1:5" s="2" customFormat="1" ht="30" customHeight="1" x14ac:dyDescent="0.25">
      <c r="A8" s="49" t="s">
        <v>162</v>
      </c>
      <c r="B8" s="49" t="s">
        <v>163</v>
      </c>
      <c r="C8" s="49" t="s">
        <v>164</v>
      </c>
      <c r="D8" s="49" t="s">
        <v>165</v>
      </c>
      <c r="E8" s="52" t="s">
        <v>166</v>
      </c>
    </row>
    <row r="9" spans="1:5" ht="15" customHeight="1" x14ac:dyDescent="0.25">
      <c r="A9" s="3" t="s">
        <v>3</v>
      </c>
      <c r="B9" s="3"/>
      <c r="C9" s="17"/>
      <c r="D9" s="17"/>
      <c r="E9" s="30"/>
    </row>
    <row r="10" spans="1:5" ht="15" customHeight="1" x14ac:dyDescent="0.25">
      <c r="A10" s="53" t="s">
        <v>2</v>
      </c>
      <c r="B10" s="53"/>
      <c r="C10" s="54"/>
      <c r="D10" s="54"/>
      <c r="E10" s="30"/>
    </row>
    <row r="11" spans="1:5" ht="16.5" customHeight="1" x14ac:dyDescent="0.3">
      <c r="A11" s="11" t="s">
        <v>15</v>
      </c>
      <c r="B11" s="11" t="s">
        <v>16</v>
      </c>
      <c r="C11" s="20">
        <f>293250/1.95583</f>
        <v>149936.34416079108</v>
      </c>
      <c r="D11" s="55">
        <f>SUM(D12)</f>
        <v>122710.05148709244</v>
      </c>
      <c r="E11" s="56">
        <f>SUM(E12)</f>
        <v>158200</v>
      </c>
    </row>
    <row r="12" spans="1:5" ht="16.5" customHeight="1" x14ac:dyDescent="0.3">
      <c r="A12" s="11" t="s">
        <v>17</v>
      </c>
      <c r="B12" s="11" t="s">
        <v>18</v>
      </c>
      <c r="C12" s="20">
        <f>293250/1.95583</f>
        <v>149936.34416079108</v>
      </c>
      <c r="D12" s="55">
        <f>240000/1.95583</f>
        <v>122710.05148709244</v>
      </c>
      <c r="E12" s="56">
        <v>158200</v>
      </c>
    </row>
    <row r="13" spans="1:5" ht="16.5" customHeight="1" x14ac:dyDescent="0.3">
      <c r="A13" s="57" t="s">
        <v>19</v>
      </c>
      <c r="B13" s="57" t="s">
        <v>20</v>
      </c>
      <c r="C13" s="42">
        <f>C14+C15+C16+C17+C18</f>
        <v>8820957.8542102333</v>
      </c>
      <c r="D13" s="42">
        <f t="shared" ref="D13:E13" si="0">D14+D16+D17+D18</f>
        <v>7771636.594182522</v>
      </c>
      <c r="E13" s="42">
        <f t="shared" si="0"/>
        <v>10010000</v>
      </c>
    </row>
    <row r="14" spans="1:5" ht="16.5" customHeight="1" x14ac:dyDescent="0.3">
      <c r="A14" s="11" t="s">
        <v>21</v>
      </c>
      <c r="B14" s="11" t="s">
        <v>22</v>
      </c>
      <c r="C14" s="20">
        <f>5343473/1.95583</f>
        <v>2732074.362291201</v>
      </c>
      <c r="D14" s="55">
        <f>5350000/1.95583</f>
        <v>2735411.5643997691</v>
      </c>
      <c r="E14" s="56">
        <v>3050000</v>
      </c>
    </row>
    <row r="15" spans="1:5" ht="16.5" customHeight="1" x14ac:dyDescent="0.3">
      <c r="A15" s="11">
        <v>1302</v>
      </c>
      <c r="B15" s="11" t="s">
        <v>179</v>
      </c>
      <c r="C15" s="20">
        <f>8105/1.95583</f>
        <v>4144.0206970953514</v>
      </c>
      <c r="D15" s="55"/>
      <c r="E15" s="56"/>
    </row>
    <row r="16" spans="1:5" ht="16.5" customHeight="1" x14ac:dyDescent="0.3">
      <c r="A16" s="11" t="s">
        <v>23</v>
      </c>
      <c r="B16" s="11" t="s">
        <v>24</v>
      </c>
      <c r="C16" s="20">
        <f>5372483/1.95583</f>
        <v>2746906.9397647036</v>
      </c>
      <c r="D16" s="55">
        <f>4850000/1.95583</f>
        <v>2479765.6238016598</v>
      </c>
      <c r="E16" s="56">
        <v>3100000</v>
      </c>
    </row>
    <row r="17" spans="1:5" ht="16.5" customHeight="1" x14ac:dyDescent="0.3">
      <c r="A17" s="11" t="s">
        <v>25</v>
      </c>
      <c r="B17" s="11" t="s">
        <v>26</v>
      </c>
      <c r="C17" s="20">
        <f>6484641/1.95583</f>
        <v>3315544.2957721273</v>
      </c>
      <c r="D17" s="55">
        <f>4950000/1.95583</f>
        <v>2530894.8119212817</v>
      </c>
      <c r="E17" s="56">
        <v>3834000</v>
      </c>
    </row>
    <row r="18" spans="1:5" ht="16.5" customHeight="1" x14ac:dyDescent="0.3">
      <c r="A18" s="11" t="s">
        <v>27</v>
      </c>
      <c r="B18" s="11" t="s">
        <v>28</v>
      </c>
      <c r="C18" s="20">
        <f>43592/1.95583</f>
        <v>22288.235685105556</v>
      </c>
      <c r="D18" s="55">
        <f>50000/1.95583</f>
        <v>25564.594059810926</v>
      </c>
      <c r="E18" s="56">
        <v>26000</v>
      </c>
    </row>
    <row r="19" spans="1:5" ht="16.5" customHeight="1" x14ac:dyDescent="0.25">
      <c r="A19" s="58" t="s">
        <v>4</v>
      </c>
      <c r="B19" s="58"/>
      <c r="C19" s="42">
        <f>C11+C13</f>
        <v>8970894.1983710248</v>
      </c>
      <c r="D19" s="59">
        <f>D11+D13</f>
        <v>7894346.6456696149</v>
      </c>
      <c r="E19" s="59">
        <f>E11+E13</f>
        <v>10168200</v>
      </c>
    </row>
    <row r="20" spans="1:5" ht="15" customHeight="1" x14ac:dyDescent="0.25">
      <c r="A20" s="60" t="s">
        <v>5</v>
      </c>
      <c r="B20" s="60"/>
      <c r="C20" s="61"/>
      <c r="D20" s="62"/>
      <c r="E20" s="62"/>
    </row>
    <row r="21" spans="1:5" ht="16.5" customHeight="1" x14ac:dyDescent="0.3">
      <c r="A21" s="57" t="s">
        <v>29</v>
      </c>
      <c r="B21" s="57" t="s">
        <v>30</v>
      </c>
      <c r="C21" s="42">
        <f t="shared" ref="C21:E21" si="1">C22+C23+C24+C25</f>
        <v>3226616.3214594317</v>
      </c>
      <c r="D21" s="42">
        <f t="shared" si="1"/>
        <v>3829145.6823957097</v>
      </c>
      <c r="E21" s="42">
        <f t="shared" si="1"/>
        <v>3984635</v>
      </c>
    </row>
    <row r="22" spans="1:5" ht="16.5" customHeight="1" x14ac:dyDescent="0.3">
      <c r="A22" s="11" t="s">
        <v>31</v>
      </c>
      <c r="B22" s="11" t="s">
        <v>32</v>
      </c>
      <c r="C22" s="20">
        <f>3336491/1.95583</f>
        <v>1705920.7599842523</v>
      </c>
      <c r="D22" s="43">
        <f>3471232/1.95583</f>
        <v>1774812.7393485119</v>
      </c>
      <c r="E22" s="30">
        <v>2051000</v>
      </c>
    </row>
    <row r="23" spans="1:5" ht="16.5" customHeight="1" x14ac:dyDescent="0.3">
      <c r="A23" s="11" t="s">
        <v>33</v>
      </c>
      <c r="B23" s="11" t="s">
        <v>34</v>
      </c>
      <c r="C23" s="20">
        <f>1885139/1.95583</f>
        <v>963856.2656263581</v>
      </c>
      <c r="D23" s="43">
        <f>2263786/1.95583</f>
        <v>1157455.4025656627</v>
      </c>
      <c r="E23" s="30">
        <v>1254086</v>
      </c>
    </row>
    <row r="24" spans="1:5" ht="16.5" customHeight="1" x14ac:dyDescent="0.3">
      <c r="A24" s="11" t="s">
        <v>35</v>
      </c>
      <c r="B24" s="11" t="s">
        <v>36</v>
      </c>
      <c r="C24" s="20">
        <f>841299/1.95583</f>
        <v>430149.34835849743</v>
      </c>
      <c r="D24" s="43">
        <f>854140/1.95583</f>
        <v>436714.84740493807</v>
      </c>
      <c r="E24" s="30">
        <v>479549</v>
      </c>
    </row>
    <row r="25" spans="1:5" ht="16.5" customHeight="1" x14ac:dyDescent="0.3">
      <c r="A25" s="11" t="s">
        <v>37</v>
      </c>
      <c r="B25" s="11" t="s">
        <v>38</v>
      </c>
      <c r="C25" s="20">
        <f>247784/1.95583</f>
        <v>126689.9474903238</v>
      </c>
      <c r="D25" s="43">
        <f>900000/1.95583</f>
        <v>460162.69307659665</v>
      </c>
      <c r="E25" s="30">
        <v>200000</v>
      </c>
    </row>
    <row r="26" spans="1:5" ht="16.5" customHeight="1" x14ac:dyDescent="0.3">
      <c r="A26" s="63" t="s">
        <v>39</v>
      </c>
      <c r="B26" s="63" t="s">
        <v>40</v>
      </c>
      <c r="C26" s="42">
        <f t="shared" ref="C26:E26" si="2">C27+C28+C29+C30+C31+C32+C33+C34+C35+C36</f>
        <v>6436837.5574564254</v>
      </c>
      <c r="D26" s="42">
        <f t="shared" si="2"/>
        <v>6706615.6056507966</v>
      </c>
      <c r="E26" s="42">
        <f t="shared" si="2"/>
        <v>7065513</v>
      </c>
    </row>
    <row r="27" spans="1:5" ht="16.5" customHeight="1" x14ac:dyDescent="0.3">
      <c r="A27" s="11" t="s">
        <v>41</v>
      </c>
      <c r="B27" s="11" t="s">
        <v>42</v>
      </c>
      <c r="C27" s="20">
        <f>71985/1.95583</f>
        <v>36805.346067909792</v>
      </c>
      <c r="D27" s="43">
        <f>81000/1.95583</f>
        <v>41414.642376893695</v>
      </c>
      <c r="E27" s="30">
        <v>49000</v>
      </c>
    </row>
    <row r="28" spans="1:5" ht="16.5" customHeight="1" x14ac:dyDescent="0.3">
      <c r="A28" s="11" t="s">
        <v>43</v>
      </c>
      <c r="B28" s="11" t="s">
        <v>44</v>
      </c>
      <c r="C28" s="20">
        <f>276823/1.95583</f>
        <v>141537.35242838078</v>
      </c>
      <c r="D28" s="43">
        <f>270000/1.95583</f>
        <v>138048.807922979</v>
      </c>
      <c r="E28" s="30">
        <v>142000</v>
      </c>
    </row>
    <row r="29" spans="1:5" ht="16.5" customHeight="1" x14ac:dyDescent="0.3">
      <c r="A29" s="11" t="s">
        <v>45</v>
      </c>
      <c r="B29" s="11" t="s">
        <v>46</v>
      </c>
      <c r="C29" s="20">
        <f>201273/1.95583</f>
        <v>102909.25080400649</v>
      </c>
      <c r="D29" s="43">
        <f>240000/1.95583</f>
        <v>122710.05148709244</v>
      </c>
      <c r="E29" s="30">
        <v>160000</v>
      </c>
    </row>
    <row r="30" spans="1:5" ht="16.5" customHeight="1" x14ac:dyDescent="0.3">
      <c r="A30" s="11" t="s">
        <v>47</v>
      </c>
      <c r="B30" s="11" t="s">
        <v>48</v>
      </c>
      <c r="C30" s="20">
        <f>9816722/1.95583</f>
        <v>5019210.2585603045</v>
      </c>
      <c r="D30" s="43">
        <f>10290000/1.95583</f>
        <v>5261193.4575090883</v>
      </c>
      <c r="E30" s="30">
        <v>5414348</v>
      </c>
    </row>
    <row r="31" spans="1:5" ht="16.5" customHeight="1" x14ac:dyDescent="0.3">
      <c r="A31" s="11" t="s">
        <v>49</v>
      </c>
      <c r="B31" s="11" t="s">
        <v>50</v>
      </c>
      <c r="C31" s="20">
        <f>54065/1.95583</f>
        <v>27642.995556873553</v>
      </c>
      <c r="D31" s="43">
        <f>55000/1.95583</f>
        <v>28121.053465792018</v>
      </c>
      <c r="E31" s="30">
        <v>25665</v>
      </c>
    </row>
    <row r="32" spans="1:5" ht="16.5" customHeight="1" x14ac:dyDescent="0.3">
      <c r="A32" s="11" t="s">
        <v>51</v>
      </c>
      <c r="B32" s="11" t="s">
        <v>52</v>
      </c>
      <c r="C32" s="20">
        <f>1203964/1.95583</f>
        <v>615577.01845252397</v>
      </c>
      <c r="D32" s="43">
        <f>800000/1.95583</f>
        <v>409033.50495697482</v>
      </c>
      <c r="E32" s="30">
        <v>740000</v>
      </c>
    </row>
    <row r="33" spans="1:5" ht="16.5" customHeight="1" x14ac:dyDescent="0.3">
      <c r="A33" s="11" t="s">
        <v>53</v>
      </c>
      <c r="B33" s="11" t="s">
        <v>54</v>
      </c>
      <c r="C33" s="20">
        <f>358789/1.95583</f>
        <v>183445.90276251003</v>
      </c>
      <c r="D33" s="43">
        <f>440000/1.95583</f>
        <v>224968.42772633614</v>
      </c>
      <c r="E33" s="30">
        <v>210000</v>
      </c>
    </row>
    <row r="34" spans="1:5" ht="16.5" customHeight="1" x14ac:dyDescent="0.3">
      <c r="A34" s="11" t="s">
        <v>55</v>
      </c>
      <c r="B34" s="11" t="s">
        <v>56</v>
      </c>
      <c r="C34" s="20">
        <f>116600/1.95583</f>
        <v>59616.633347479074</v>
      </c>
      <c r="D34" s="43">
        <f>170000/1.95583</f>
        <v>86919.619803357142</v>
      </c>
      <c r="E34" s="30">
        <v>60000</v>
      </c>
    </row>
    <row r="35" spans="1:5" ht="16.5" customHeight="1" x14ac:dyDescent="0.3">
      <c r="A35" s="11" t="s">
        <v>57</v>
      </c>
      <c r="B35" s="11" t="s">
        <v>58</v>
      </c>
      <c r="C35" s="20">
        <f>15463/1.95583</f>
        <v>7906.106358937127</v>
      </c>
      <c r="D35" s="43">
        <f>11000/1.95583</f>
        <v>5624.210693158403</v>
      </c>
      <c r="E35" s="30">
        <v>8500</v>
      </c>
    </row>
    <row r="36" spans="1:5" ht="16.5" customHeight="1" x14ac:dyDescent="0.3">
      <c r="A36" s="11" t="s">
        <v>59</v>
      </c>
      <c r="B36" s="11" t="s">
        <v>60</v>
      </c>
      <c r="C36" s="20">
        <f>473676/1.95583</f>
        <v>242186.69311749999</v>
      </c>
      <c r="D36" s="43">
        <f>760000/1.95583</f>
        <v>388581.82970912603</v>
      </c>
      <c r="E36" s="30">
        <v>256000</v>
      </c>
    </row>
    <row r="37" spans="1:5" ht="16.5" customHeight="1" x14ac:dyDescent="0.3">
      <c r="A37" s="63" t="s">
        <v>61</v>
      </c>
      <c r="B37" s="63" t="s">
        <v>62</v>
      </c>
      <c r="C37" s="42">
        <f t="shared" ref="C37:E37" si="3">C38+C39</f>
        <v>468891.46807237848</v>
      </c>
      <c r="D37" s="42">
        <f t="shared" si="3"/>
        <v>558330.73426627065</v>
      </c>
      <c r="E37" s="42">
        <f t="shared" si="3"/>
        <v>470200</v>
      </c>
    </row>
    <row r="38" spans="1:5" ht="16.5" customHeight="1" x14ac:dyDescent="0.3">
      <c r="A38" s="11" t="s">
        <v>63</v>
      </c>
      <c r="B38" s="11" t="s">
        <v>64</v>
      </c>
      <c r="C38" s="20">
        <f>429772/1.95583</f>
        <v>219738.9343654612</v>
      </c>
      <c r="D38" s="43">
        <f>432000/1.95583</f>
        <v>220878.09267676639</v>
      </c>
      <c r="E38" s="64">
        <v>220200</v>
      </c>
    </row>
    <row r="39" spans="1:5" ht="16.5" customHeight="1" x14ac:dyDescent="0.3">
      <c r="A39" s="11" t="s">
        <v>65</v>
      </c>
      <c r="B39" s="11" t="s">
        <v>66</v>
      </c>
      <c r="C39" s="20">
        <f>487300/1.95583</f>
        <v>249152.53370691728</v>
      </c>
      <c r="D39" s="43">
        <f>660000/1.95583</f>
        <v>337452.6415895042</v>
      </c>
      <c r="E39" s="30">
        <v>250000</v>
      </c>
    </row>
    <row r="40" spans="1:5" ht="16.5" customHeight="1" x14ac:dyDescent="0.3">
      <c r="A40" s="57" t="s">
        <v>67</v>
      </c>
      <c r="B40" s="57" t="s">
        <v>68</v>
      </c>
      <c r="C40" s="42">
        <f t="shared" ref="C40:E40" si="4">C41+C42+C43+C44</f>
        <v>377421.350526375</v>
      </c>
      <c r="D40" s="42">
        <f t="shared" si="4"/>
        <v>154195.40553115559</v>
      </c>
      <c r="E40" s="42">
        <f t="shared" si="4"/>
        <v>238579</v>
      </c>
    </row>
    <row r="41" spans="1:5" ht="16.5" customHeight="1" x14ac:dyDescent="0.3">
      <c r="A41" s="11" t="s">
        <v>69</v>
      </c>
      <c r="B41" s="11" t="s">
        <v>70</v>
      </c>
      <c r="C41" s="20">
        <f>-1324/1.95583</f>
        <v>-676.95045070379331</v>
      </c>
      <c r="D41" s="43">
        <v>0</v>
      </c>
      <c r="E41" s="30"/>
    </row>
    <row r="42" spans="1:5" ht="16.5" customHeight="1" x14ac:dyDescent="0.3">
      <c r="A42" s="11" t="s">
        <v>71</v>
      </c>
      <c r="B42" s="11" t="s">
        <v>72</v>
      </c>
      <c r="C42" s="20">
        <f>23764/1.95583</f>
        <v>12150.340264746936</v>
      </c>
      <c r="D42" s="43">
        <f>3000/1.95583</f>
        <v>1533.8756435886555</v>
      </c>
      <c r="E42" s="30">
        <v>7377</v>
      </c>
    </row>
    <row r="43" spans="1:5" ht="16.5" customHeight="1" x14ac:dyDescent="0.3">
      <c r="A43" s="11" t="s">
        <v>73</v>
      </c>
      <c r="B43" s="11" t="s">
        <v>74</v>
      </c>
      <c r="C43" s="20">
        <v>0</v>
      </c>
      <c r="D43" s="43">
        <f>5000/1.95583</f>
        <v>2556.4594059810925</v>
      </c>
      <c r="E43" s="30">
        <v>0</v>
      </c>
    </row>
    <row r="44" spans="1:5" ht="16.5" customHeight="1" x14ac:dyDescent="0.3">
      <c r="A44" s="65" t="s">
        <v>75</v>
      </c>
      <c r="B44" s="65" t="s">
        <v>76</v>
      </c>
      <c r="C44" s="20">
        <f>715732/1.95583</f>
        <v>365947.96071233187</v>
      </c>
      <c r="D44" s="43">
        <f>293580/1.95583</f>
        <v>150105.07048158583</v>
      </c>
      <c r="E44" s="30">
        <v>231202</v>
      </c>
    </row>
    <row r="45" spans="1:5" ht="16.5" customHeight="1" x14ac:dyDescent="0.3">
      <c r="A45" s="57" t="s">
        <v>77</v>
      </c>
      <c r="B45" s="57" t="s">
        <v>78</v>
      </c>
      <c r="C45" s="42">
        <f t="shared" ref="C45:E45" si="5">C46+C47+C48</f>
        <v>-378341.16462064703</v>
      </c>
      <c r="D45" s="42">
        <f t="shared" si="5"/>
        <v>-420384.18471953087</v>
      </c>
      <c r="E45" s="42">
        <f t="shared" si="5"/>
        <v>-405144</v>
      </c>
    </row>
    <row r="46" spans="1:5" ht="16.5" customHeight="1" x14ac:dyDescent="0.3">
      <c r="A46" s="11" t="s">
        <v>79</v>
      </c>
      <c r="B46" s="11" t="s">
        <v>80</v>
      </c>
      <c r="C46" s="20">
        <f>-552907/1.95583</f>
        <v>-282696.86015655758</v>
      </c>
      <c r="D46" s="43">
        <f>-614000/1.95583</f>
        <v>-313933.21505447815</v>
      </c>
      <c r="E46" s="30">
        <v>-300000</v>
      </c>
    </row>
    <row r="47" spans="1:5" ht="16.5" customHeight="1" x14ac:dyDescent="0.3">
      <c r="A47" s="11" t="s">
        <v>81</v>
      </c>
      <c r="B47" s="11" t="s">
        <v>82</v>
      </c>
      <c r="C47" s="20">
        <f>-186962/1.95583</f>
        <v>-95592.152692207397</v>
      </c>
      <c r="D47" s="43">
        <f>-208200/1.95583</f>
        <v>-106450.96966505269</v>
      </c>
      <c r="E47" s="30">
        <v>-105144</v>
      </c>
    </row>
    <row r="48" spans="1:5" ht="16.5" customHeight="1" x14ac:dyDescent="0.3">
      <c r="A48" s="11" t="s">
        <v>83</v>
      </c>
      <c r="B48" s="11" t="s">
        <v>84</v>
      </c>
      <c r="C48" s="20">
        <f>-102/1.95583</f>
        <v>-52.151771882014287</v>
      </c>
      <c r="D48" s="43">
        <v>0</v>
      </c>
      <c r="E48" s="30"/>
    </row>
    <row r="49" spans="1:5" ht="16.5" customHeight="1" x14ac:dyDescent="0.3">
      <c r="A49" s="57" t="s">
        <v>85</v>
      </c>
      <c r="B49" s="57" t="s">
        <v>86</v>
      </c>
      <c r="C49" s="42">
        <f t="shared" ref="C49:E49" si="6">C50+C51+C52+C53</f>
        <v>786377.65040928917</v>
      </c>
      <c r="D49" s="42">
        <f t="shared" si="6"/>
        <v>2224119.6832035505</v>
      </c>
      <c r="E49" s="42">
        <f t="shared" si="6"/>
        <v>1591000</v>
      </c>
    </row>
    <row r="50" spans="1:5" ht="16.5" customHeight="1" x14ac:dyDescent="0.3">
      <c r="A50" s="11" t="s">
        <v>87</v>
      </c>
      <c r="B50" s="11" t="s">
        <v>88</v>
      </c>
      <c r="C50" s="20">
        <f>330091/1.95583</f>
        <v>168772.84835594095</v>
      </c>
      <c r="D50" s="43">
        <f>1800000/1.95583</f>
        <v>920325.38615319331</v>
      </c>
      <c r="E50" s="30">
        <v>511000</v>
      </c>
    </row>
    <row r="51" spans="1:5" ht="16.5" customHeight="1" x14ac:dyDescent="0.3">
      <c r="A51" s="11" t="s">
        <v>89</v>
      </c>
      <c r="B51" s="11" t="s">
        <v>90</v>
      </c>
      <c r="C51" s="20"/>
      <c r="D51" s="43">
        <v>0</v>
      </c>
      <c r="E51" s="30"/>
    </row>
    <row r="52" spans="1:5" ht="16.5" customHeight="1" x14ac:dyDescent="0.3">
      <c r="A52" s="11" t="s">
        <v>91</v>
      </c>
      <c r="B52" s="11" t="s">
        <v>92</v>
      </c>
      <c r="C52" s="20">
        <f>106126/1.95583</f>
        <v>54261.362183829886</v>
      </c>
      <c r="D52" s="43">
        <f>150000/1.95583</f>
        <v>76693.782179432776</v>
      </c>
      <c r="E52" s="30">
        <v>80000</v>
      </c>
    </row>
    <row r="53" spans="1:5" ht="16.5" customHeight="1" x14ac:dyDescent="0.3">
      <c r="A53" s="11" t="s">
        <v>93</v>
      </c>
      <c r="B53" s="11" t="s">
        <v>94</v>
      </c>
      <c r="C53" s="20">
        <f>1101804/1.95583</f>
        <v>563343.43986951828</v>
      </c>
      <c r="D53" s="43">
        <f>2400000/1.95583</f>
        <v>1227100.5148709244</v>
      </c>
      <c r="E53" s="30">
        <v>1000000</v>
      </c>
    </row>
    <row r="54" spans="1:5" ht="16.5" customHeight="1" x14ac:dyDescent="0.3">
      <c r="A54" s="57" t="s">
        <v>95</v>
      </c>
      <c r="B54" s="57" t="s">
        <v>96</v>
      </c>
      <c r="C54" s="42">
        <f>34376/1.95583</f>
        <v>17576.169708001205</v>
      </c>
      <c r="D54" s="66">
        <f>20000/1.95583</f>
        <v>10225.83762392437</v>
      </c>
      <c r="E54" s="66">
        <v>17600</v>
      </c>
    </row>
    <row r="55" spans="1:5" ht="16.5" customHeight="1" x14ac:dyDescent="0.3">
      <c r="A55" s="57" t="s">
        <v>97</v>
      </c>
      <c r="B55" s="57" t="s">
        <v>98</v>
      </c>
      <c r="C55" s="42">
        <f>C56+C57</f>
        <v>122116.95290490481</v>
      </c>
      <c r="D55" s="42">
        <f t="shared" ref="D55:E55" si="7">D56+D57</f>
        <v>0</v>
      </c>
      <c r="E55" s="42">
        <f t="shared" si="7"/>
        <v>43042</v>
      </c>
    </row>
    <row r="56" spans="1:5" ht="16.5" customHeight="1" x14ac:dyDescent="0.3">
      <c r="A56" s="11" t="s">
        <v>99</v>
      </c>
      <c r="B56" s="11" t="s">
        <v>100</v>
      </c>
      <c r="C56" s="20">
        <f>212373/1.95583</f>
        <v>108584.59068528451</v>
      </c>
      <c r="D56" s="43"/>
      <c r="E56" s="30">
        <v>43042</v>
      </c>
    </row>
    <row r="57" spans="1:5" ht="16.5" customHeight="1" x14ac:dyDescent="0.3">
      <c r="A57" s="11">
        <v>4503</v>
      </c>
      <c r="B57" s="11" t="s">
        <v>175</v>
      </c>
      <c r="C57" s="20">
        <f>26467/1.95583</f>
        <v>13532.362219620314</v>
      </c>
      <c r="D57" s="43"/>
      <c r="E57" s="30"/>
    </row>
    <row r="58" spans="1:5" ht="16.5" customHeight="1" x14ac:dyDescent="0.3">
      <c r="A58" s="67">
        <v>4600</v>
      </c>
      <c r="B58" s="13" t="s">
        <v>169</v>
      </c>
      <c r="C58" s="64">
        <v>0</v>
      </c>
      <c r="D58" s="43"/>
      <c r="E58" s="30"/>
    </row>
    <row r="59" spans="1:5" ht="16.5" customHeight="1" x14ac:dyDescent="0.3">
      <c r="A59" s="67">
        <v>4700</v>
      </c>
      <c r="B59" s="13" t="s">
        <v>170</v>
      </c>
      <c r="C59" s="64">
        <v>0</v>
      </c>
      <c r="D59" s="43">
        <v>0</v>
      </c>
      <c r="E59" s="30">
        <v>0</v>
      </c>
    </row>
    <row r="60" spans="1:5" ht="16.5" customHeight="1" x14ac:dyDescent="0.25">
      <c r="A60" s="16" t="s">
        <v>174</v>
      </c>
      <c r="B60" s="16"/>
      <c r="C60" s="23">
        <f>C59+C58+C54+C49+C45+C40+C37+C26+C21+C55</f>
        <v>11057496.305916158</v>
      </c>
      <c r="D60" s="23">
        <f t="shared" ref="D60" si="8">D59+D58+D54+D49+D45+D40+D37+D26+D21</f>
        <v>13062248.763951877</v>
      </c>
      <c r="E60" s="42">
        <f>E59+E58+E54+E49+E45+E40+E37+E26+E21+E55</f>
        <v>13005425</v>
      </c>
    </row>
    <row r="61" spans="1:5" ht="16.5" customHeight="1" x14ac:dyDescent="0.3">
      <c r="A61" s="10" t="s">
        <v>6</v>
      </c>
      <c r="B61" s="11"/>
      <c r="C61" s="25">
        <f>C19+C60</f>
        <v>20028390.504287183</v>
      </c>
      <c r="D61" s="68">
        <f>D60+D19</f>
        <v>20956595.409621492</v>
      </c>
      <c r="E61" s="66">
        <f>E60+E19</f>
        <v>23173625</v>
      </c>
    </row>
    <row r="62" spans="1:5" ht="12.75" customHeight="1" x14ac:dyDescent="0.3">
      <c r="A62" s="9"/>
      <c r="B62" s="7"/>
      <c r="C62" s="26"/>
      <c r="D62" s="27"/>
      <c r="E62" s="28"/>
    </row>
    <row r="63" spans="1:5" ht="30.75" hidden="1" customHeight="1" x14ac:dyDescent="0.3">
      <c r="A63" s="9"/>
      <c r="B63" s="7"/>
      <c r="C63" s="26"/>
      <c r="D63" s="27"/>
      <c r="E63" s="28"/>
    </row>
    <row r="64" spans="1:5" ht="52.5" customHeight="1" x14ac:dyDescent="0.3">
      <c r="A64" s="9"/>
      <c r="B64" s="7"/>
      <c r="C64" s="26"/>
      <c r="D64" s="27"/>
      <c r="E64" s="28"/>
    </row>
    <row r="65" spans="1:5" ht="15" customHeight="1" x14ac:dyDescent="0.25">
      <c r="A65" s="3" t="s">
        <v>7</v>
      </c>
      <c r="B65" s="3"/>
      <c r="C65" s="17"/>
      <c r="D65" s="29"/>
      <c r="E65" s="24"/>
    </row>
    <row r="66" spans="1:5" ht="14.25" customHeight="1" x14ac:dyDescent="0.3">
      <c r="A66" s="13" t="s">
        <v>101</v>
      </c>
      <c r="B66" s="13" t="s">
        <v>102</v>
      </c>
      <c r="C66" s="22">
        <f>C68+C69+C70+C71+C72</f>
        <v>5167504.3331986936</v>
      </c>
      <c r="D66" s="22">
        <f>D68+D69+D70+D71+D72</f>
        <v>5167166.880557104</v>
      </c>
      <c r="E66" s="22">
        <f>E67+E68+E69+E70+E71+E72</f>
        <v>5404800</v>
      </c>
    </row>
    <row r="67" spans="1:5" ht="16.5" hidden="1" customHeight="1" x14ac:dyDescent="0.3">
      <c r="A67" s="11"/>
      <c r="B67" s="36"/>
      <c r="C67" s="35"/>
      <c r="D67" s="35"/>
      <c r="E67" s="43"/>
    </row>
    <row r="68" spans="1:5" ht="16.5" customHeight="1" x14ac:dyDescent="0.3">
      <c r="A68" s="11" t="s">
        <v>103</v>
      </c>
      <c r="B68" s="11" t="s">
        <v>104</v>
      </c>
      <c r="C68" s="24">
        <f>5450500/1.95583</f>
        <v>2786796.3984599891</v>
      </c>
      <c r="D68" s="24">
        <f>5450500/1.95583</f>
        <v>2786796.3984599891</v>
      </c>
      <c r="E68" s="24">
        <v>2787100</v>
      </c>
    </row>
    <row r="69" spans="1:5" ht="16.5" customHeight="1" x14ac:dyDescent="0.3">
      <c r="A69" s="6" t="s">
        <v>105</v>
      </c>
      <c r="B69" s="6" t="s">
        <v>106</v>
      </c>
      <c r="C69" s="24">
        <f>1695160/1.95583</f>
        <v>866721.54532858171</v>
      </c>
      <c r="D69" s="24">
        <f>3384100/1.95583</f>
        <v>1730262.8551561229</v>
      </c>
      <c r="E69" s="24">
        <v>1903300</v>
      </c>
    </row>
    <row r="70" spans="1:5" ht="16.5" customHeight="1" x14ac:dyDescent="0.3">
      <c r="A70" s="6" t="s">
        <v>107</v>
      </c>
      <c r="B70" s="4" t="s">
        <v>108</v>
      </c>
      <c r="C70" s="24">
        <f>2961100/1.95583</f>
        <v>1513986.3894101225</v>
      </c>
      <c r="D70" s="24">
        <f>1271500/1.95583</f>
        <v>650107.62694099185</v>
      </c>
      <c r="E70" s="24">
        <v>714400</v>
      </c>
    </row>
    <row r="71" spans="1:5" ht="16.5" customHeight="1" x14ac:dyDescent="0.3">
      <c r="A71" s="6">
        <v>3120</v>
      </c>
      <c r="B71" s="4" t="s">
        <v>172</v>
      </c>
      <c r="C71" s="24">
        <v>0</v>
      </c>
      <c r="D71" s="24">
        <v>0</v>
      </c>
      <c r="E71" s="24"/>
    </row>
    <row r="72" spans="1:5" ht="16.5" customHeight="1" x14ac:dyDescent="0.3">
      <c r="A72" s="6">
        <v>3128</v>
      </c>
      <c r="B72" s="4" t="s">
        <v>108</v>
      </c>
      <c r="C72" s="24">
        <v>0</v>
      </c>
      <c r="D72" s="24">
        <v>0</v>
      </c>
      <c r="E72" s="24">
        <v>0</v>
      </c>
    </row>
    <row r="73" spans="1:5" ht="16.5" customHeight="1" x14ac:dyDescent="0.3">
      <c r="A73" s="14" t="s">
        <v>109</v>
      </c>
      <c r="B73" s="12" t="s">
        <v>110</v>
      </c>
      <c r="C73" s="22">
        <f t="shared" ref="C73:E73" si="9">C74+C75+C77+C76</f>
        <v>6430504.6962159295</v>
      </c>
      <c r="D73" s="22">
        <f t="shared" si="9"/>
        <v>-61355.025743546219</v>
      </c>
      <c r="E73" s="22">
        <f t="shared" si="9"/>
        <v>-56240</v>
      </c>
    </row>
    <row r="74" spans="1:5" ht="16.5" customHeight="1" x14ac:dyDescent="0.3">
      <c r="A74" s="6" t="s">
        <v>111</v>
      </c>
      <c r="B74" s="4" t="s">
        <v>112</v>
      </c>
      <c r="C74" s="24">
        <f>13011862/1.95583</f>
        <v>6652859.3998455899</v>
      </c>
      <c r="D74" s="24">
        <v>0</v>
      </c>
      <c r="E74" s="24"/>
    </row>
    <row r="75" spans="1:5" ht="16.5" customHeight="1" x14ac:dyDescent="0.3">
      <c r="A75" s="6" t="s">
        <v>113</v>
      </c>
      <c r="B75" s="4" t="s">
        <v>114</v>
      </c>
      <c r="C75" s="24">
        <f>-258244/1.95583</f>
        <v>-132038.06056763625</v>
      </c>
      <c r="D75" s="24">
        <f>-120000/1.95583</f>
        <v>-61355.025743546219</v>
      </c>
      <c r="E75" s="24">
        <v>-56240</v>
      </c>
    </row>
    <row r="76" spans="1:5" ht="16.5" customHeight="1" x14ac:dyDescent="0.3">
      <c r="A76" s="6">
        <v>6105</v>
      </c>
      <c r="B76" s="4" t="s">
        <v>173</v>
      </c>
      <c r="C76" s="24">
        <f>59756/1.95583</f>
        <v>30552.757652761233</v>
      </c>
      <c r="D76" s="24">
        <v>0</v>
      </c>
      <c r="E76" s="24"/>
    </row>
    <row r="77" spans="1:5" ht="16.5" customHeight="1" x14ac:dyDescent="0.3">
      <c r="A77" s="6" t="s">
        <v>115</v>
      </c>
      <c r="B77" s="4" t="s">
        <v>116</v>
      </c>
      <c r="C77" s="24">
        <f>-236400/1.95583</f>
        <v>-120869.40071478605</v>
      </c>
      <c r="D77" s="24">
        <v>0</v>
      </c>
      <c r="E77" s="24"/>
    </row>
    <row r="78" spans="1:5" ht="16.5" customHeight="1" x14ac:dyDescent="0.3">
      <c r="A78" s="14" t="s">
        <v>117</v>
      </c>
      <c r="B78" s="12" t="s">
        <v>118</v>
      </c>
      <c r="C78" s="30">
        <f>C79</f>
        <v>-731833.54381515773</v>
      </c>
      <c r="D78" s="30">
        <f>D79</f>
        <v>-1533875.6435886554</v>
      </c>
      <c r="E78" s="30">
        <f>E79</f>
        <v>-1343729</v>
      </c>
    </row>
    <row r="79" spans="1:5" ht="16.5" customHeight="1" x14ac:dyDescent="0.3">
      <c r="A79" s="6" t="s">
        <v>119</v>
      </c>
      <c r="B79" s="4" t="s">
        <v>120</v>
      </c>
      <c r="C79" s="24">
        <f>-1431342/1.95583</f>
        <v>-731833.54381515773</v>
      </c>
      <c r="D79" s="24">
        <f>-3000000/1.95583</f>
        <v>-1533875.6435886554</v>
      </c>
      <c r="E79" s="24">
        <v>-1343729</v>
      </c>
    </row>
    <row r="80" spans="1:5" ht="16.5" customHeight="1" x14ac:dyDescent="0.3">
      <c r="A80" s="14" t="s">
        <v>171</v>
      </c>
      <c r="B80" s="12" t="s">
        <v>121</v>
      </c>
      <c r="C80" s="22">
        <f t="shared" ref="C80" si="10">C81</f>
        <v>37492.522356237503</v>
      </c>
      <c r="D80" s="22">
        <v>22402</v>
      </c>
      <c r="E80" s="22">
        <f t="shared" ref="E80" si="11">E81</f>
        <v>0</v>
      </c>
    </row>
    <row r="81" spans="1:5" ht="16.5" customHeight="1" x14ac:dyDescent="0.3">
      <c r="A81" s="33" t="s">
        <v>122</v>
      </c>
      <c r="B81" s="34" t="s">
        <v>123</v>
      </c>
      <c r="C81" s="43">
        <f>73329/1.95583</f>
        <v>37492.522356237503</v>
      </c>
      <c r="D81" s="43">
        <v>0</v>
      </c>
      <c r="E81" s="43"/>
    </row>
    <row r="82" spans="1:5" ht="16.5" customHeight="1" x14ac:dyDescent="0.25">
      <c r="A82" s="3" t="s">
        <v>8</v>
      </c>
      <c r="B82" s="3"/>
      <c r="C82" s="23">
        <f>C66+C73+C78+C81</f>
        <v>10903668.007955704</v>
      </c>
      <c r="D82" s="23">
        <f>D66+D73+D78+D81</f>
        <v>3571936.2112249024</v>
      </c>
      <c r="E82" s="23">
        <f>E66+E73+E78+E81</f>
        <v>4004831</v>
      </c>
    </row>
    <row r="83" spans="1:5" ht="15" customHeight="1" x14ac:dyDescent="0.25">
      <c r="A83" s="5" t="s">
        <v>9</v>
      </c>
      <c r="B83" s="3"/>
      <c r="C83" s="17"/>
      <c r="D83" s="18"/>
      <c r="E83" s="18"/>
    </row>
    <row r="84" spans="1:5" ht="16.5" customHeight="1" x14ac:dyDescent="0.3">
      <c r="A84" s="4" t="s">
        <v>124</v>
      </c>
      <c r="B84" s="4" t="s">
        <v>125</v>
      </c>
      <c r="C84" s="19">
        <f>-105555/1.95583</f>
        <v>-53969.414519666847</v>
      </c>
      <c r="D84" s="19">
        <f>-2579769/1.95583</f>
        <v>-1319014.9450616874</v>
      </c>
      <c r="E84" s="18">
        <v>-615200</v>
      </c>
    </row>
    <row r="85" spans="1:5" ht="16.5" customHeight="1" x14ac:dyDescent="0.25">
      <c r="A85" s="3" t="s">
        <v>10</v>
      </c>
      <c r="B85" s="3"/>
      <c r="C85" s="21">
        <f>C84</f>
        <v>-53969.414519666847</v>
      </c>
      <c r="D85" s="21">
        <f>D84</f>
        <v>-1319014.9450616874</v>
      </c>
      <c r="E85" s="21">
        <f>E84</f>
        <v>-615200</v>
      </c>
    </row>
    <row r="86" spans="1:5" ht="16.5" customHeight="1" x14ac:dyDescent="0.25">
      <c r="A86" s="3" t="s">
        <v>11</v>
      </c>
      <c r="B86" s="3"/>
      <c r="C86" s="31">
        <f>C85+C82+C61</f>
        <v>30878089.09772322</v>
      </c>
      <c r="D86" s="31">
        <f>D85+D82+D61</f>
        <v>23209516.675784707</v>
      </c>
      <c r="E86" s="31">
        <f>E85+E82+E61</f>
        <v>26563256</v>
      </c>
    </row>
    <row r="87" spans="1:5" ht="15" customHeight="1" x14ac:dyDescent="0.25">
      <c r="A87" s="3" t="s">
        <v>12</v>
      </c>
      <c r="B87" s="3"/>
      <c r="C87" s="17"/>
      <c r="D87" s="17"/>
      <c r="E87" s="18"/>
    </row>
    <row r="88" spans="1:5" s="47" customFormat="1" ht="16.5" customHeight="1" x14ac:dyDescent="0.3">
      <c r="A88" s="34" t="s">
        <v>126</v>
      </c>
      <c r="B88" s="44" t="s">
        <v>127</v>
      </c>
      <c r="C88" s="45">
        <f>C89+C90+C91+C92+C93</f>
        <v>3198740.6880966136</v>
      </c>
      <c r="D88" s="45">
        <f>D90+D91+D92+D93</f>
        <v>366673.99518363038</v>
      </c>
      <c r="E88" s="46">
        <f>E90+E91+E93</f>
        <v>-1075900</v>
      </c>
    </row>
    <row r="89" spans="1:5" s="47" customFormat="1" ht="16.5" customHeight="1" x14ac:dyDescent="0.3">
      <c r="A89" s="34">
        <v>8311</v>
      </c>
      <c r="B89" s="48" t="s">
        <v>180</v>
      </c>
      <c r="C89" s="45">
        <f>5269936/1.95583</f>
        <v>2694475.4912236747</v>
      </c>
      <c r="D89" s="45"/>
      <c r="E89" s="46"/>
    </row>
    <row r="90" spans="1:5" ht="16.5" customHeight="1" x14ac:dyDescent="0.3">
      <c r="A90" s="4" t="s">
        <v>128</v>
      </c>
      <c r="B90" s="15" t="s">
        <v>129</v>
      </c>
      <c r="C90" s="20">
        <f>2960056/1.95583</f>
        <v>1513452.6006861536</v>
      </c>
      <c r="D90" s="20">
        <f>2960056/1.95583</f>
        <v>1513452.6006861536</v>
      </c>
      <c r="E90" s="18">
        <v>0</v>
      </c>
    </row>
    <row r="91" spans="1:5" ht="16.5" customHeight="1" x14ac:dyDescent="0.3">
      <c r="A91" s="4" t="s">
        <v>130</v>
      </c>
      <c r="B91" s="15" t="s">
        <v>131</v>
      </c>
      <c r="C91" s="20">
        <f>-1749624/1.95583</f>
        <v>-894568.54634605255</v>
      </c>
      <c r="D91" s="20">
        <f>-1773579/1.95583</f>
        <v>-906816.54336010804</v>
      </c>
      <c r="E91" s="18">
        <v>-1052300</v>
      </c>
    </row>
    <row r="92" spans="1:5" ht="16.5" customHeight="1" x14ac:dyDescent="0.3">
      <c r="A92" s="4" t="s">
        <v>132</v>
      </c>
      <c r="B92" s="15"/>
      <c r="C92" s="20">
        <v>0</v>
      </c>
      <c r="D92" s="20">
        <v>0</v>
      </c>
      <c r="E92" s="18"/>
    </row>
    <row r="93" spans="1:5" ht="16.5" customHeight="1" x14ac:dyDescent="0.3">
      <c r="A93" s="4" t="s">
        <v>133</v>
      </c>
      <c r="B93" s="4" t="s">
        <v>134</v>
      </c>
      <c r="C93" s="32">
        <f>-224175/1.95583</f>
        <v>-114618.85746716228</v>
      </c>
      <c r="D93" s="20">
        <f>-469325/1.95583</f>
        <v>-239962.06214241523</v>
      </c>
      <c r="E93" s="18">
        <v>-23600</v>
      </c>
    </row>
    <row r="94" spans="1:5" ht="16.5" customHeight="1" x14ac:dyDescent="0.3">
      <c r="A94" s="12" t="s">
        <v>135</v>
      </c>
      <c r="B94" s="12" t="s">
        <v>136</v>
      </c>
      <c r="C94" s="22">
        <f>C95+C96+C97</f>
        <v>62302.960891284012</v>
      </c>
      <c r="D94" s="22">
        <f>D95+D96+D97</f>
        <v>-85132.14338669517</v>
      </c>
      <c r="E94" s="22">
        <f t="shared" ref="E94" si="12">E95+E96+E97</f>
        <v>0</v>
      </c>
    </row>
    <row r="95" spans="1:5" ht="16.5" customHeight="1" x14ac:dyDescent="0.3">
      <c r="A95" s="4" t="s">
        <v>137</v>
      </c>
      <c r="B95" s="4" t="s">
        <v>138</v>
      </c>
      <c r="C95" s="19">
        <f>116388/1.95583</f>
        <v>59508.239468665481</v>
      </c>
      <c r="D95" s="19">
        <f>-166504/1.95583</f>
        <v>-85132.14338669517</v>
      </c>
      <c r="E95" s="18"/>
    </row>
    <row r="96" spans="1:5" ht="16.5" customHeight="1" x14ac:dyDescent="0.3">
      <c r="A96" s="4" t="s">
        <v>139</v>
      </c>
      <c r="B96" s="4" t="s">
        <v>140</v>
      </c>
      <c r="C96" s="19">
        <f>5466/1.95583</f>
        <v>2794.7214226185301</v>
      </c>
      <c r="D96" s="19">
        <v>0</v>
      </c>
      <c r="E96" s="18"/>
    </row>
    <row r="97" spans="1:5" ht="16.5" customHeight="1" x14ac:dyDescent="0.3">
      <c r="A97" s="4" t="s">
        <v>141</v>
      </c>
      <c r="B97" s="4" t="s">
        <v>142</v>
      </c>
      <c r="C97" s="19">
        <v>0</v>
      </c>
      <c r="D97" s="19">
        <v>0</v>
      </c>
      <c r="E97" s="18"/>
    </row>
    <row r="98" spans="1:5" ht="16.5" customHeight="1" x14ac:dyDescent="0.3">
      <c r="A98" s="12" t="s">
        <v>143</v>
      </c>
      <c r="B98" s="12" t="s">
        <v>144</v>
      </c>
      <c r="C98" s="22">
        <f>C99+C100+C101</f>
        <v>63321.965610508079</v>
      </c>
      <c r="D98" s="22">
        <f>D99+D100+D101</f>
        <v>0</v>
      </c>
      <c r="E98" s="22">
        <f t="shared" ref="E98" si="13">E99+E100+E101</f>
        <v>0</v>
      </c>
    </row>
    <row r="99" spans="1:5" ht="16.5" customHeight="1" x14ac:dyDescent="0.3">
      <c r="A99" s="4" t="s">
        <v>145</v>
      </c>
      <c r="B99" s="4" t="s">
        <v>146</v>
      </c>
      <c r="C99" s="19">
        <f>18543/1.95583</f>
        <v>9480.8853530214801</v>
      </c>
      <c r="D99" s="19"/>
      <c r="E99" s="18"/>
    </row>
    <row r="100" spans="1:5" ht="16.5" customHeight="1" x14ac:dyDescent="0.3">
      <c r="A100" s="4" t="s">
        <v>147</v>
      </c>
      <c r="B100" s="4" t="s">
        <v>148</v>
      </c>
      <c r="C100" s="19">
        <f>131734/1.95583</f>
        <v>67354.524677502646</v>
      </c>
      <c r="D100" s="19">
        <v>0</v>
      </c>
      <c r="E100" s="18"/>
    </row>
    <row r="101" spans="1:5" ht="16.5" customHeight="1" x14ac:dyDescent="0.3">
      <c r="A101" s="4" t="s">
        <v>149</v>
      </c>
      <c r="B101" s="4" t="s">
        <v>150</v>
      </c>
      <c r="C101" s="19">
        <f>-26430/1.95583</f>
        <v>-13513.444420016054</v>
      </c>
      <c r="D101" s="19"/>
      <c r="E101" s="18"/>
    </row>
    <row r="102" spans="1:5" ht="16.5" customHeight="1" x14ac:dyDescent="0.3">
      <c r="A102" s="12" t="s">
        <v>151</v>
      </c>
      <c r="B102" s="12" t="s">
        <v>152</v>
      </c>
      <c r="C102" s="22">
        <f>C103+C104+C105+C106</f>
        <v>2111869.1297300896</v>
      </c>
      <c r="D102" s="22">
        <f>D103+D104+D105+D106</f>
        <v>9366603.4369040262</v>
      </c>
      <c r="E102" s="22">
        <f t="shared" ref="E102" si="14">E103+E104+E105+E106</f>
        <v>0</v>
      </c>
    </row>
    <row r="103" spans="1:5" ht="16.5" customHeight="1" x14ac:dyDescent="0.3">
      <c r="A103" s="4" t="s">
        <v>153</v>
      </c>
      <c r="B103" s="4" t="s">
        <v>154</v>
      </c>
      <c r="C103" s="19">
        <f>13044297/1.95583</f>
        <v>6669443.1520121889</v>
      </c>
      <c r="D103" s="19">
        <f>18319484/1.95583</f>
        <v>9366603.4369040262</v>
      </c>
      <c r="E103" s="18"/>
    </row>
    <row r="104" spans="1:5" ht="16.5" customHeight="1" x14ac:dyDescent="0.3">
      <c r="A104" s="4" t="s">
        <v>155</v>
      </c>
      <c r="B104" s="4" t="s">
        <v>156</v>
      </c>
      <c r="C104" s="19">
        <f>10717/1.95583</f>
        <v>5479.5150907798734</v>
      </c>
      <c r="D104" s="19">
        <v>0</v>
      </c>
      <c r="E104" s="18"/>
    </row>
    <row r="105" spans="1:5" ht="16.5" customHeight="1" x14ac:dyDescent="0.3">
      <c r="A105" s="4" t="s">
        <v>157</v>
      </c>
      <c r="B105" s="4" t="s">
        <v>158</v>
      </c>
      <c r="C105" s="19">
        <f>-8918851/1.95583</f>
        <v>-4560136.1058987742</v>
      </c>
      <c r="D105" s="19"/>
      <c r="E105" s="18"/>
    </row>
    <row r="106" spans="1:5" ht="16.5" customHeight="1" x14ac:dyDescent="0.3">
      <c r="A106" s="4" t="s">
        <v>159</v>
      </c>
      <c r="B106" s="4" t="s">
        <v>160</v>
      </c>
      <c r="C106" s="19">
        <f>-5706/1.95583</f>
        <v>-2917.4314741056228</v>
      </c>
      <c r="D106" s="19"/>
      <c r="E106" s="18"/>
    </row>
    <row r="107" spans="1:5" ht="16.5" customHeight="1" x14ac:dyDescent="0.3">
      <c r="A107" s="37" t="s">
        <v>13</v>
      </c>
      <c r="B107" s="38"/>
      <c r="C107" s="39">
        <f>C102+C98+C94+C88</f>
        <v>5436234.7443284951</v>
      </c>
      <c r="D107" s="39">
        <f>D102+D98+D94+D88</f>
        <v>9648145.2887009606</v>
      </c>
      <c r="E107" s="39">
        <f>E102+E98+E94+E88</f>
        <v>-1075900</v>
      </c>
    </row>
    <row r="108" spans="1:5" ht="16.5" customHeight="1" x14ac:dyDescent="0.25">
      <c r="A108" s="37" t="s">
        <v>161</v>
      </c>
      <c r="B108" s="37"/>
      <c r="C108" s="40">
        <f t="shared" ref="C108:D108" si="15">C86+C107</f>
        <v>36314323.842051715</v>
      </c>
      <c r="D108" s="40">
        <f t="shared" si="15"/>
        <v>32857661.964485668</v>
      </c>
      <c r="E108" s="40">
        <f>E86+E107</f>
        <v>25487356</v>
      </c>
    </row>
  </sheetData>
  <mergeCells count="2">
    <mergeCell ref="A3:E3"/>
    <mergeCell ref="D1:E1"/>
  </mergeCells>
  <pageMargins left="0" right="0" top="0" bottom="0" header="0.31496062992125984" footer="0.31496062992125984"/>
  <pageSetup paperSize="9" scale="90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ПРИХОДИ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Мартина Стоилова</dc:creator>
  <cp:lastModifiedBy>s.mircheva</cp:lastModifiedBy>
  <cp:lastPrinted>2026-08-18T17:21:00Z</cp:lastPrinted>
  <dcterms:created xsi:type="dcterms:W3CDTF">2016-01-26T08:35:43Z</dcterms:created>
  <dcterms:modified xsi:type="dcterms:W3CDTF">2026-08-19T19:01:03Z</dcterms:modified>
</cp:coreProperties>
</file>